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bertrand.peaudecerf\Documents\Voiture\Calcule avantage en nature\"/>
    </mc:Choice>
  </mc:AlternateContent>
  <xr:revisionPtr revIDLastSave="0" documentId="13_ncr:1_{04501BD7-D51A-46DF-AB09-74AC2E4882CD}" xr6:coauthVersionLast="47" xr6:coauthVersionMax="47" xr10:uidLastSave="{00000000-0000-0000-0000-000000000000}"/>
  <bookViews>
    <workbookView xWindow="28680" yWindow="-120" windowWidth="29040" windowHeight="15840" xr2:uid="{FBCD774D-23E8-4B3E-9C42-EA341BD063FC}"/>
  </bookViews>
  <sheets>
    <sheet name="page 1" sheetId="1" r:id="rId1"/>
    <sheet name="page 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5" i="3" l="1"/>
  <c r="I69" i="1"/>
  <c r="H69" i="1"/>
  <c r="G69" i="1"/>
  <c r="D72" i="1"/>
  <c r="D73" i="1" s="1"/>
  <c r="D68" i="1"/>
  <c r="D74" i="1" l="1"/>
  <c r="F3" i="1"/>
  <c r="H32" i="3"/>
  <c r="F11" i="1"/>
  <c r="K50" i="1"/>
  <c r="K30" i="1"/>
  <c r="K13" i="1"/>
  <c r="K14" i="1" s="1"/>
  <c r="F12" i="1"/>
  <c r="F32" i="3"/>
  <c r="D44" i="1" l="1"/>
  <c r="D75" i="1"/>
  <c r="E17" i="3"/>
  <c r="I17" i="3" s="1"/>
  <c r="D7" i="3"/>
  <c r="E19" i="3" s="1"/>
  <c r="G19" i="3" s="1"/>
  <c r="I13" i="3"/>
  <c r="O44" i="1"/>
  <c r="D48" i="1" s="1"/>
  <c r="O11" i="1" a="1"/>
  <c r="O11" i="1" s="1"/>
  <c r="E15" i="1" s="1"/>
  <c r="L51" i="1"/>
  <c r="K51" i="1"/>
  <c r="K31" i="1"/>
  <c r="D28" i="1"/>
  <c r="D52" i="1"/>
  <c r="E52" i="1" s="1"/>
  <c r="D31" i="1"/>
  <c r="E31" i="1" s="1"/>
  <c r="D13" i="1"/>
  <c r="E13" i="1" s="1"/>
  <c r="C43" i="1" l="1"/>
  <c r="D49" i="1"/>
  <c r="F49" i="1" s="1"/>
  <c r="E11" i="3"/>
  <c r="I11" i="3" s="1"/>
  <c r="E20" i="3"/>
  <c r="G20" i="3" s="1"/>
  <c r="E21" i="3"/>
  <c r="I21" i="3" s="1"/>
  <c r="E9" i="3"/>
  <c r="I9" i="3" s="1"/>
  <c r="E14" i="3"/>
  <c r="I14" i="3" s="1"/>
  <c r="E23" i="3"/>
  <c r="I23" i="3" s="1"/>
  <c r="E10" i="3"/>
  <c r="I10" i="3" s="1"/>
  <c r="E16" i="3"/>
  <c r="G16" i="3" s="1"/>
  <c r="E24" i="3"/>
  <c r="E18" i="3"/>
  <c r="G18" i="3" s="1"/>
  <c r="G17" i="3"/>
  <c r="I19" i="3"/>
  <c r="G13" i="3"/>
  <c r="E26" i="3" s="1"/>
  <c r="E54" i="1"/>
  <c r="E33" i="1"/>
  <c r="E49" i="1"/>
  <c r="L11" i="1"/>
  <c r="J48" i="1"/>
  <c r="L28" i="1"/>
  <c r="F13" i="1"/>
  <c r="F31" i="1"/>
  <c r="C39" i="1" l="1"/>
  <c r="D33" i="1"/>
  <c r="C21" i="1"/>
  <c r="D15" i="1"/>
  <c r="G24" i="3"/>
  <c r="I18" i="3"/>
  <c r="I20" i="3"/>
  <c r="I24" i="3"/>
  <c r="I16" i="3"/>
  <c r="K52" i="1"/>
  <c r="F48" i="1"/>
  <c r="E27" i="3"/>
  <c r="G27" i="3" s="1"/>
  <c r="G26" i="3"/>
  <c r="F33" i="1"/>
  <c r="F52" i="1"/>
  <c r="D54" i="1" s="1"/>
  <c r="H17" i="1"/>
  <c r="H16" i="1"/>
  <c r="H34" i="1"/>
  <c r="H33" i="1"/>
  <c r="F7" i="1" l="1"/>
  <c r="F15" i="1"/>
  <c r="C19" i="1" s="1"/>
  <c r="H55" i="1"/>
  <c r="H54" i="1"/>
  <c r="E60" i="1"/>
  <c r="C60" i="1"/>
  <c r="I29" i="3"/>
  <c r="G29" i="3"/>
  <c r="C38" i="1"/>
  <c r="C37" i="1"/>
  <c r="F54" i="1"/>
  <c r="D59" i="1" s="1"/>
  <c r="L9" i="1"/>
  <c r="C20" i="1" l="1"/>
  <c r="C58" i="1"/>
  <c r="C5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Bertrand Peaudecerf</author>
  </authors>
  <commentList>
    <comment ref="C12" authorId="0" shapeId="0" xr:uid="{5B0535C9-BF9D-4022-AFE3-C0EF039E3C4B}">
      <text>
        <r>
          <rPr>
            <b/>
            <sz val="9"/>
            <color indexed="81"/>
            <rFont val="Tahoma"/>
            <family val="2"/>
          </rPr>
          <t>Bertrand Peaudecerf:</t>
        </r>
        <r>
          <rPr>
            <sz val="9"/>
            <color indexed="81"/>
            <rFont val="Tahoma"/>
            <family val="2"/>
          </rPr>
          <t xml:space="preserve">
Tranche 1 pour l'année 2025 : 3925,00 €</t>
        </r>
      </text>
    </comment>
    <comment ref="H13" authorId="0" shapeId="0" xr:uid="{ED1BD8E5-45E5-4572-8C31-16FEDE5A4B90}">
      <text>
        <r>
          <rPr>
            <b/>
            <sz val="9"/>
            <color indexed="81"/>
            <rFont val="Tahoma"/>
            <family val="2"/>
          </rPr>
          <t>Bertrand Peaudecerf:</t>
        </r>
        <r>
          <rPr>
            <sz val="9"/>
            <color indexed="81"/>
            <rFont val="Tahoma"/>
            <family val="2"/>
          </rPr>
          <t xml:space="preserve">
Voir page 2
</t>
        </r>
      </text>
    </comment>
    <comment ref="D15" authorId="0" shapeId="0" xr:uid="{BAD4E9A1-1CEC-497F-AE8D-923C1C9DED0B}">
      <text>
        <r>
          <rPr>
            <b/>
            <sz val="9"/>
            <color indexed="81"/>
            <rFont val="Tahoma"/>
            <family val="2"/>
          </rPr>
          <t>Bertrand Peaudecerf:</t>
        </r>
        <r>
          <rPr>
            <sz val="9"/>
            <color indexed="81"/>
            <rFont val="Tahoma"/>
            <family val="2"/>
          </rPr>
          <t xml:space="preserve">
Ajout de la CSG/RDS
non déductible de 2,9%</t>
        </r>
      </text>
    </comment>
    <comment ref="E15" authorId="0" shapeId="0" xr:uid="{19C5AE89-D3EE-4347-ABE5-9A4EF64D4D47}">
      <text>
        <r>
          <rPr>
            <b/>
            <sz val="9"/>
            <color indexed="81"/>
            <rFont val="Tahoma"/>
            <family val="2"/>
          </rPr>
          <t>Bertrand Peaudecerf:</t>
        </r>
        <r>
          <rPr>
            <sz val="9"/>
            <color indexed="81"/>
            <rFont val="Tahoma"/>
            <family val="2"/>
          </rPr>
          <t xml:space="preserve">
Abattement de 10%
pour frais professionnels</t>
        </r>
      </text>
    </comment>
    <comment ref="D28" authorId="0" shapeId="0" xr:uid="{AB2F58DD-5B72-40AB-A448-E0A7D2779F0B}">
      <text>
        <r>
          <rPr>
            <b/>
            <sz val="9"/>
            <color indexed="81"/>
            <rFont val="Tahoma"/>
            <family val="2"/>
          </rPr>
          <t>Bertrand Peaudecerf:</t>
        </r>
        <r>
          <rPr>
            <sz val="9"/>
            <color indexed="81"/>
            <rFont val="Tahoma"/>
            <family val="2"/>
          </rPr>
          <t xml:space="preserve">
Fixée à 50% !
Peut être modifiée dans D8</t>
        </r>
      </text>
    </comment>
    <comment ref="H30" authorId="0" shapeId="0" xr:uid="{75C56D87-BFC7-457B-B06A-C0E55842E3CC}">
      <text>
        <r>
          <rPr>
            <b/>
            <sz val="9"/>
            <color indexed="81"/>
            <rFont val="Tahoma"/>
            <family val="2"/>
          </rPr>
          <t>Bertrand Peaudecerf:</t>
        </r>
        <r>
          <rPr>
            <sz val="9"/>
            <color indexed="81"/>
            <rFont val="Tahoma"/>
            <family val="2"/>
          </rPr>
          <t xml:space="preserve">
Voir page 2
</t>
        </r>
      </text>
    </comment>
    <comment ref="D33" authorId="0" shapeId="0" xr:uid="{44A2474A-D254-4B49-A478-2659B2496C99}">
      <text>
        <r>
          <rPr>
            <b/>
            <sz val="9"/>
            <color indexed="81"/>
            <rFont val="Tahoma"/>
            <family val="2"/>
          </rPr>
          <t>Bertrand Peaudecerf:</t>
        </r>
        <r>
          <rPr>
            <sz val="9"/>
            <color indexed="81"/>
            <rFont val="Tahoma"/>
            <family val="2"/>
          </rPr>
          <t xml:space="preserve">
Ajout de la CSG/RDS
non déductible de 2,9%</t>
        </r>
      </text>
    </comment>
    <comment ref="E33" authorId="0" shapeId="0" xr:uid="{ABB96DAA-4526-4FEA-BC3D-1E040CD28611}">
      <text>
        <r>
          <rPr>
            <b/>
            <sz val="9"/>
            <color indexed="81"/>
            <rFont val="Tahoma"/>
            <family val="2"/>
          </rPr>
          <t>Bertrand Peaudecerf:</t>
        </r>
        <r>
          <rPr>
            <sz val="9"/>
            <color indexed="81"/>
            <rFont val="Tahoma"/>
            <family val="2"/>
          </rPr>
          <t xml:space="preserve">
Abattement de 10%
pour frais professionnels</t>
        </r>
      </text>
    </comment>
    <comment ref="E49" authorId="0" shapeId="0" xr:uid="{6456DF62-D294-41E7-BD25-24B1EA9B2A31}">
      <text>
        <r>
          <rPr>
            <b/>
            <sz val="9"/>
            <color indexed="81"/>
            <rFont val="Tahoma"/>
            <family val="2"/>
          </rPr>
          <t>Bertrand Peaudecerf:</t>
        </r>
        <r>
          <rPr>
            <sz val="9"/>
            <color indexed="81"/>
            <rFont val="Tahoma"/>
            <family val="2"/>
          </rPr>
          <t xml:space="preserve">
Abattement de 10%
pour frais professionnels</t>
        </r>
      </text>
    </comment>
    <comment ref="H50" authorId="0" shapeId="0" xr:uid="{483B1F06-9EBD-47C5-A49F-8BB64ED5FA62}">
      <text>
        <r>
          <rPr>
            <b/>
            <sz val="9"/>
            <color indexed="81"/>
            <rFont val="Tahoma"/>
            <family val="2"/>
          </rPr>
          <t>Bertrand Peaudecerf:</t>
        </r>
        <r>
          <rPr>
            <sz val="9"/>
            <color indexed="81"/>
            <rFont val="Tahoma"/>
            <family val="2"/>
          </rPr>
          <t xml:space="preserve">
Voir page 2
</t>
        </r>
      </text>
    </comment>
    <comment ref="D54" authorId="0" shapeId="0" xr:uid="{4B3BB370-93DD-4F78-A22B-BE0D27A3DE66}">
      <text>
        <r>
          <rPr>
            <b/>
            <sz val="9"/>
            <color indexed="81"/>
            <rFont val="Tahoma"/>
            <family val="2"/>
          </rPr>
          <t>Bertrand Peaudecerf:</t>
        </r>
        <r>
          <rPr>
            <sz val="9"/>
            <color indexed="81"/>
            <rFont val="Tahoma"/>
            <family val="2"/>
          </rPr>
          <t xml:space="preserve">
Ajout de la CSG/RDS
non déductible de 2,9%</t>
        </r>
      </text>
    </comment>
    <comment ref="E54" authorId="0" shapeId="0" xr:uid="{16DB2FA1-E75E-4603-B517-3BEE3A325DB0}">
      <text>
        <r>
          <rPr>
            <b/>
            <sz val="9"/>
            <color indexed="81"/>
            <rFont val="Tahoma"/>
            <family val="2"/>
          </rPr>
          <t>Bertrand Peaudecerf:</t>
        </r>
        <r>
          <rPr>
            <sz val="9"/>
            <color indexed="81"/>
            <rFont val="Tahoma"/>
            <family val="2"/>
          </rPr>
          <t xml:space="preserve">
Abattement de 10%
pour frais professionnels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Bertrand Peaudecerf</author>
  </authors>
  <commentList>
    <comment ref="E13" authorId="0" shapeId="0" xr:uid="{13425612-D044-4B15-9BA4-5EE19272E28F}">
      <text>
        <r>
          <rPr>
            <b/>
            <sz val="9"/>
            <color indexed="81"/>
            <rFont val="Tahoma"/>
            <family val="2"/>
          </rPr>
          <t>Bertrand Peaudecerf:</t>
        </r>
        <r>
          <rPr>
            <sz val="9"/>
            <color indexed="81"/>
            <rFont val="Tahoma"/>
            <family val="2"/>
          </rPr>
          <t xml:space="preserve">
44,94 par part.
Suivant le choix de chacun.</t>
        </r>
      </text>
    </comment>
    <comment ref="H25" authorId="0" shapeId="0" xr:uid="{77D45E93-C2EB-4B23-BBB6-BAA75CE9A27F}">
      <text>
        <r>
          <rPr>
            <b/>
            <sz val="9"/>
            <color indexed="81"/>
            <rFont val="Tahoma"/>
            <family val="2"/>
          </rPr>
          <t>Bertrand Peaudecerf:</t>
        </r>
        <r>
          <rPr>
            <sz val="9"/>
            <color indexed="81"/>
            <rFont val="Tahoma"/>
            <family val="2"/>
          </rPr>
          <t xml:space="preserve">
Estimation grossière.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<sst xmlns="http://schemas.openxmlformats.org/spreadsheetml/2006/main" count="139" uniqueCount="113">
  <si>
    <t>Situation actuel</t>
  </si>
  <si>
    <t>Tranche 1 :</t>
  </si>
  <si>
    <t>Tranche 2 :</t>
  </si>
  <si>
    <t>Tranche 3 :</t>
  </si>
  <si>
    <t>Tranche 4 :</t>
  </si>
  <si>
    <t>Tranche 5 :</t>
  </si>
  <si>
    <t>Charges Sociales</t>
  </si>
  <si>
    <t>Participation utilisation auto</t>
  </si>
  <si>
    <t>Valeurs sur Bulletin de salaire</t>
  </si>
  <si>
    <t>Charge employeur</t>
  </si>
  <si>
    <t>Impôts, montant de votre revenue annuel imposable</t>
  </si>
  <si>
    <t>Sélection / Taux</t>
  </si>
  <si>
    <t>Prime exc. compensatrice</t>
  </si>
  <si>
    <t xml:space="preserve">Impôts sur prime comp. </t>
  </si>
  <si>
    <t>===================================================================</t>
  </si>
  <si>
    <t>Avantage en nature imposable</t>
  </si>
  <si>
    <r>
      <t>Total employeur = (</t>
    </r>
    <r>
      <rPr>
        <u/>
        <sz val="11"/>
        <color theme="1"/>
        <rFont val="Aptos Narrow"/>
        <family val="2"/>
        <scheme val="minor"/>
      </rPr>
      <t>Location + entretient + assurance - Participation employé</t>
    </r>
    <r>
      <rPr>
        <sz val="11"/>
        <color theme="1"/>
        <rFont val="Aptos Narrow"/>
        <family val="2"/>
        <scheme val="minor"/>
      </rPr>
      <t xml:space="preserve">) + </t>
    </r>
    <r>
      <rPr>
        <u/>
        <sz val="11"/>
        <color theme="1"/>
        <rFont val="Aptos Narrow"/>
        <family val="2"/>
        <scheme val="minor"/>
      </rPr>
      <t>Prime employé</t>
    </r>
    <r>
      <rPr>
        <sz val="11"/>
        <color theme="1"/>
        <rFont val="Aptos Narrow"/>
        <family val="2"/>
        <scheme val="minor"/>
      </rPr>
      <t xml:space="preserve"> + </t>
    </r>
    <r>
      <rPr>
        <u/>
        <sz val="11"/>
        <color theme="1"/>
        <rFont val="Aptos Narrow"/>
        <family val="2"/>
        <scheme val="minor"/>
      </rPr>
      <t>Charge employeur sur la prime</t>
    </r>
  </si>
  <si>
    <t>Pourcentage des cotisations (part employeur)     =</t>
  </si>
  <si>
    <t>Charge employeur sur la prime exc. Compensatrice :</t>
  </si>
  <si>
    <r>
      <t xml:space="preserve">Location + entretient + assurance - </t>
    </r>
    <r>
      <rPr>
        <u/>
        <sz val="11"/>
        <color theme="1"/>
        <rFont val="Aptos Narrow"/>
        <family val="2"/>
        <scheme val="minor"/>
      </rPr>
      <t>Participation employé</t>
    </r>
  </si>
  <si>
    <t>Location + entretient + assurance :</t>
  </si>
  <si>
    <t>Charge employeur sur l'avantage en nature :</t>
  </si>
  <si>
    <t>Avantage en nature à 30%</t>
  </si>
  <si>
    <t>Avantage en nature à 50%</t>
  </si>
  <si>
    <t>Toutefois, l’évaluation ne peut pas avoir pour effet de porter le montant de l’avantage en nature à un niveau supérieur à celui qui aurait été évalué si l’employeur avait acheté le véhicule.</t>
  </si>
  <si>
    <t xml:space="preserve">Le prix de référence du véhicule retenu pour cette évaluation est le prix d’achat TTC du véhicule par le loueur, après prise en compte du rabais consenti le cas échéant, </t>
  </si>
  <si>
    <t>dans la limite de 30 % du prix conseillé, par le constructeur pour la vente du véhicule au jour du début du contrat.</t>
  </si>
  <si>
    <t xml:space="preserve">Il appartient aux loueurs et crédit-bailleurs de communiquer aux entreprises locataires les éléments nécessaires à l’application des règles mentionnées ci-dessus. </t>
  </si>
  <si>
    <t>En l’absence d’une telle information, le prix retenu sera le prix conseillé d’achat du véhicule par le constructeur au jour du début du contrat de location.</t>
  </si>
  <si>
    <t>xxx</t>
  </si>
  <si>
    <t xml:space="preserve">L'évaluation ainsi obtenue sera plafonnée au montant de l'avantage en nature qui aurait été évalué si l'employeur avait acheté le véhicule, </t>
  </si>
  <si>
    <t>le prix de référence du véhicule étant le prix d'achat TTC du véhicule par le loueur, rabais compris, dans la limite de 30 % du prix conseillé par le constructeur pour la vente de véhicule au jour du début du contrat.</t>
  </si>
  <si>
    <t>Montant par part (2024)</t>
  </si>
  <si>
    <t>Coût voiture = Participation auto - prime comp. (après impôts)</t>
  </si>
  <si>
    <t>Total brut</t>
  </si>
  <si>
    <t>Base</t>
  </si>
  <si>
    <t>Taux salarial</t>
  </si>
  <si>
    <t>Retenue</t>
  </si>
  <si>
    <t>Taux employeur</t>
  </si>
  <si>
    <t>Part employeur</t>
  </si>
  <si>
    <t>Sécurité Sociale - Maladie Maternité Invalidité Décès</t>
  </si>
  <si>
    <t>Complémentaire Incapacité Invalidité Décès</t>
  </si>
  <si>
    <r>
      <t>Tranche A</t>
    </r>
    <r>
      <rPr>
        <sz val="8"/>
        <color rgb="FF468847"/>
        <rFont val="Inherit"/>
      </rPr>
      <t xml:space="preserve"> (TA)</t>
    </r>
    <r>
      <rPr>
        <sz val="8"/>
        <color rgb="FF468847"/>
        <rFont val="Arial"/>
        <family val="2"/>
      </rPr>
      <t xml:space="preserve"> : </t>
    </r>
    <r>
      <rPr>
        <b/>
        <sz val="8"/>
        <color rgb="FF468847"/>
        <rFont val="Arial"/>
        <family val="2"/>
      </rPr>
      <t>1 fois</t>
    </r>
    <r>
      <rPr>
        <sz val="8"/>
        <color rgb="FF468847"/>
        <rFont val="Arial"/>
        <family val="2"/>
      </rPr>
      <t xml:space="preserve"> le plafond de la Sécurité Sociale</t>
    </r>
  </si>
  <si>
    <r>
      <t>Tranche B</t>
    </r>
    <r>
      <rPr>
        <sz val="8"/>
        <color rgb="FF468847"/>
        <rFont val="Arial"/>
        <family val="2"/>
      </rPr>
      <t xml:space="preserve"> (TB) : </t>
    </r>
    <r>
      <rPr>
        <b/>
        <sz val="8"/>
        <color rgb="FF468847"/>
        <rFont val="Arial"/>
        <family val="2"/>
      </rPr>
      <t>4 fois</t>
    </r>
    <r>
      <rPr>
        <sz val="8"/>
        <color rgb="FF468847"/>
        <rFont val="Arial"/>
        <family val="2"/>
      </rPr>
      <t xml:space="preserve"> le plafond de la Sécurité Sociale</t>
    </r>
  </si>
  <si>
    <r>
      <t>Tranche C</t>
    </r>
    <r>
      <rPr>
        <sz val="8"/>
        <color rgb="FF468847"/>
        <rFont val="Inherit"/>
      </rPr>
      <t xml:space="preserve"> (TC)</t>
    </r>
    <r>
      <rPr>
        <sz val="8"/>
        <color rgb="FF468847"/>
        <rFont val="Arial"/>
        <family val="2"/>
      </rPr>
      <t xml:space="preserve"> : </t>
    </r>
    <r>
      <rPr>
        <b/>
        <sz val="8"/>
        <color rgb="FF468847"/>
        <rFont val="Arial"/>
        <family val="2"/>
      </rPr>
      <t>8 fois</t>
    </r>
    <r>
      <rPr>
        <sz val="8"/>
        <color rgb="FF468847"/>
        <rFont val="Arial"/>
        <family val="2"/>
      </rPr>
      <t xml:space="preserve"> le plafond de la Sécurité sociale</t>
    </r>
  </si>
  <si>
    <r>
      <t>Tranche A et Tranche B</t>
    </r>
    <r>
      <rPr>
        <sz val="8"/>
        <color rgb="FF468847"/>
        <rFont val="Arial"/>
        <family val="2"/>
      </rPr>
      <t xml:space="preserve"> (TAB) : </t>
    </r>
    <r>
      <rPr>
        <b/>
        <sz val="8"/>
        <color rgb="FF468847"/>
        <rFont val="Arial"/>
        <family val="2"/>
      </rPr>
      <t>4 fois</t>
    </r>
    <r>
      <rPr>
        <sz val="8"/>
        <color rgb="FF468847"/>
        <rFont val="Arial"/>
        <family val="2"/>
      </rPr>
      <t xml:space="preserve"> le plafond de la Sécurité sociale</t>
    </r>
  </si>
  <si>
    <r>
      <t>Tranche A+B+C</t>
    </r>
    <r>
      <rPr>
        <sz val="8"/>
        <color rgb="FF468847"/>
        <rFont val="Arial"/>
        <family val="2"/>
      </rPr>
      <t xml:space="preserve"> (TABC) : </t>
    </r>
    <r>
      <rPr>
        <b/>
        <sz val="8"/>
        <color rgb="FF468847"/>
        <rFont val="Arial"/>
        <family val="2"/>
      </rPr>
      <t>8 fois</t>
    </r>
    <r>
      <rPr>
        <sz val="8"/>
        <color rgb="FF468847"/>
        <rFont val="Arial"/>
        <family val="2"/>
      </rPr>
      <t xml:space="preserve"> le plafond de la Sécurité sociale</t>
    </r>
  </si>
  <si>
    <r>
      <t>Tranche 1</t>
    </r>
    <r>
      <rPr>
        <sz val="8"/>
        <color rgb="FF468847"/>
        <rFont val="Arial"/>
        <family val="2"/>
      </rPr>
      <t xml:space="preserve"> (T1) : </t>
    </r>
    <r>
      <rPr>
        <b/>
        <sz val="8"/>
        <color rgb="FF468847"/>
        <rFont val="Arial"/>
        <family val="2"/>
      </rPr>
      <t>1 fois</t>
    </r>
    <r>
      <rPr>
        <sz val="8"/>
        <color rgb="FF468847"/>
        <rFont val="Arial"/>
        <family val="2"/>
      </rPr>
      <t xml:space="preserve"> le plafond de la Sécurité Sociale </t>
    </r>
    <r>
      <rPr>
        <sz val="8"/>
        <color rgb="FF468847"/>
        <rFont val="Inherit"/>
      </rPr>
      <t>(équivalent de la Tranche A)</t>
    </r>
  </si>
  <si>
    <r>
      <t>Tranche 2</t>
    </r>
    <r>
      <rPr>
        <sz val="8"/>
        <color rgb="FF468847"/>
        <rFont val="Arial"/>
        <family val="2"/>
      </rPr>
      <t xml:space="preserve"> (T2) : </t>
    </r>
    <r>
      <rPr>
        <b/>
        <sz val="8"/>
        <color rgb="FF468847"/>
        <rFont val="Arial"/>
        <family val="2"/>
      </rPr>
      <t>3 fois</t>
    </r>
    <r>
      <rPr>
        <sz val="8"/>
        <color rgb="FF468847"/>
        <rFont val="Arial"/>
        <family val="2"/>
      </rPr>
      <t xml:space="preserve"> le plafond de la Sécurité Sociale</t>
    </r>
  </si>
  <si>
    <r>
      <t>Tranche 1 Agirc Arrco</t>
    </r>
    <r>
      <rPr>
        <sz val="8"/>
        <color rgb="FF468847"/>
        <rFont val="Arial"/>
        <family val="2"/>
      </rPr>
      <t xml:space="preserve"> (T1U) :</t>
    </r>
    <r>
      <rPr>
        <b/>
        <sz val="8"/>
        <color rgb="FF468847"/>
        <rFont val="Arial"/>
        <family val="2"/>
      </rPr>
      <t xml:space="preserve"> 1 fois</t>
    </r>
    <r>
      <rPr>
        <sz val="8"/>
        <color rgb="FF468847"/>
        <rFont val="Arial"/>
        <family val="2"/>
      </rPr>
      <t xml:space="preserve"> le plafond de la Sécurité Sociale</t>
    </r>
  </si>
  <si>
    <r>
      <t>Tranche 2 Agirc Arrco</t>
    </r>
    <r>
      <rPr>
        <sz val="8"/>
        <color rgb="FF468847"/>
        <rFont val="Arial"/>
        <family val="2"/>
      </rPr>
      <t xml:space="preserve"> (T2U) :</t>
    </r>
    <r>
      <rPr>
        <b/>
        <sz val="8"/>
        <color rgb="FF468847"/>
        <rFont val="Arial"/>
        <family val="2"/>
      </rPr>
      <t> 8 fois</t>
    </r>
    <r>
      <rPr>
        <sz val="8"/>
        <color rgb="FF468847"/>
        <rFont val="Arial"/>
        <family val="2"/>
      </rPr>
      <t xml:space="preserve"> le plafond de la Sécurité sociale</t>
    </r>
  </si>
  <si>
    <r>
      <t>Tranche 1 prévoyance</t>
    </r>
    <r>
      <rPr>
        <sz val="9"/>
        <color rgb="FF468847"/>
        <rFont val="Arial"/>
        <family val="2"/>
      </rPr>
      <t xml:space="preserve"> (T1_PREV) : </t>
    </r>
    <r>
      <rPr>
        <b/>
        <sz val="8"/>
        <color rgb="FF468847"/>
        <rFont val="Arial"/>
        <family val="2"/>
      </rPr>
      <t>1 fois</t>
    </r>
    <r>
      <rPr>
        <sz val="8"/>
        <color rgb="FF468847"/>
        <rFont val="Arial"/>
        <family val="2"/>
      </rPr>
      <t xml:space="preserve"> le plafond de la Sécurité Sociale</t>
    </r>
  </si>
  <si>
    <r>
      <t>Tranche 2 prévoyance</t>
    </r>
    <r>
      <rPr>
        <sz val="9"/>
        <color rgb="FF468847"/>
        <rFont val="Arial"/>
        <family val="2"/>
      </rPr>
      <t xml:space="preserve"> (T2_PREV) : </t>
    </r>
    <r>
      <rPr>
        <b/>
        <sz val="8"/>
        <color rgb="FF468847"/>
        <rFont val="Arial"/>
        <family val="2"/>
      </rPr>
      <t>3 fois</t>
    </r>
    <r>
      <rPr>
        <sz val="8"/>
        <color rgb="FF468847"/>
        <rFont val="Arial"/>
        <family val="2"/>
      </rPr>
      <t xml:space="preserve"> le plafond de la Sécurité Sociale</t>
    </r>
  </si>
  <si>
    <r>
      <t>Tranche 2 prévoyance</t>
    </r>
    <r>
      <rPr>
        <sz val="8"/>
        <color rgb="FF468847"/>
        <rFont val="Arial"/>
        <family val="2"/>
      </rPr>
      <t xml:space="preserve"> (T2U_PREV) : </t>
    </r>
    <r>
      <rPr>
        <b/>
        <sz val="8"/>
        <color rgb="FF468847"/>
        <rFont val="Arial"/>
        <family val="2"/>
      </rPr>
      <t>8 fois</t>
    </r>
    <r>
      <rPr>
        <sz val="8"/>
        <color rgb="FF468847"/>
        <rFont val="Arial"/>
        <family val="2"/>
      </rPr>
      <t xml:space="preserve"> le plafond de la Sécurité sociale</t>
    </r>
  </si>
  <si>
    <r>
      <t>Tranche A prévoyance</t>
    </r>
    <r>
      <rPr>
        <sz val="9"/>
        <color rgb="FF468847"/>
        <rFont val="Arial"/>
        <family val="2"/>
      </rPr>
      <t xml:space="preserve"> (TA_PREV) : </t>
    </r>
    <r>
      <rPr>
        <b/>
        <sz val="8"/>
        <color rgb="FF468847"/>
        <rFont val="Arial"/>
        <family val="2"/>
      </rPr>
      <t>1 fois</t>
    </r>
    <r>
      <rPr>
        <sz val="8"/>
        <color rgb="FF468847"/>
        <rFont val="Arial"/>
        <family val="2"/>
      </rPr>
      <t xml:space="preserve"> le plafond de la Sécurité Sociale</t>
    </r>
  </si>
  <si>
    <r>
      <t>Tranche B prévoyance</t>
    </r>
    <r>
      <rPr>
        <sz val="9"/>
        <color rgb="FF468847"/>
        <rFont val="Arial"/>
        <family val="2"/>
      </rPr>
      <t xml:space="preserve"> (TB_PREV) : </t>
    </r>
    <r>
      <rPr>
        <b/>
        <sz val="8"/>
        <color rgb="FF468847"/>
        <rFont val="Arial"/>
        <family val="2"/>
      </rPr>
      <t>4 fois</t>
    </r>
    <r>
      <rPr>
        <sz val="8"/>
        <color rgb="FF468847"/>
        <rFont val="Arial"/>
        <family val="2"/>
      </rPr>
      <t xml:space="preserve"> le plafond de la Sécurité Sociale</t>
    </r>
  </si>
  <si>
    <r>
      <t>Tranche C prévoyance</t>
    </r>
    <r>
      <rPr>
        <sz val="8"/>
        <color rgb="FF468847"/>
        <rFont val="Arial"/>
        <family val="2"/>
      </rPr>
      <t xml:space="preserve"> ( TC_PREV) : </t>
    </r>
    <r>
      <rPr>
        <b/>
        <sz val="8"/>
        <color rgb="FF468847"/>
        <rFont val="Arial"/>
        <family val="2"/>
      </rPr>
      <t>8 fois</t>
    </r>
    <r>
      <rPr>
        <sz val="8"/>
        <color rgb="FF468847"/>
        <rFont val="Arial"/>
        <family val="2"/>
      </rPr>
      <t xml:space="preserve"> le plafond de la Sécurité sociale</t>
    </r>
  </si>
  <si>
    <r>
      <t>Tranche A et Tranche B prévoyance</t>
    </r>
    <r>
      <rPr>
        <sz val="9"/>
        <color rgb="FF468847"/>
        <rFont val="Arial"/>
        <family val="2"/>
      </rPr>
      <t xml:space="preserve"> (TAB_PREV) : </t>
    </r>
    <r>
      <rPr>
        <b/>
        <sz val="8"/>
        <color rgb="FF468847"/>
        <rFont val="Arial"/>
        <family val="2"/>
      </rPr>
      <t>4 fois</t>
    </r>
    <r>
      <rPr>
        <sz val="8"/>
        <color rgb="FF468847"/>
        <rFont val="Arial"/>
        <family val="2"/>
      </rPr>
      <t xml:space="preserve"> le plafond de la Sécurité sociale</t>
    </r>
  </si>
  <si>
    <t>Année</t>
  </si>
  <si>
    <t>47 100 €</t>
  </si>
  <si>
    <t>Trimestre</t>
  </si>
  <si>
    <t>11 775 €</t>
  </si>
  <si>
    <t>Mois</t>
  </si>
  <si>
    <t>3 925 €</t>
  </si>
  <si>
    <t>Plafonds de la Sécurité sociale pour 2025</t>
  </si>
  <si>
    <t>ACCIDENTS DE TRAVAIL-MALADIES PROFESSIONNELLES</t>
  </si>
  <si>
    <t>SANTE</t>
  </si>
  <si>
    <t>RETRAITE</t>
  </si>
  <si>
    <t xml:space="preserve">Sécurité Sociale plafonnée </t>
  </si>
  <si>
    <t xml:space="preserve">Sécurité Sociale déplafonnée </t>
  </si>
  <si>
    <t xml:space="preserve">Complémentaire Tranche 1   </t>
  </si>
  <si>
    <t xml:space="preserve">Complémentaire Tranche 2 </t>
  </si>
  <si>
    <t>Contribution dEquilibre Technique</t>
  </si>
  <si>
    <t>FAMILLE</t>
  </si>
  <si>
    <t>ASSURANCE CHOMAGE</t>
  </si>
  <si>
    <t xml:space="preserve">Chômage </t>
  </si>
  <si>
    <t>APEC</t>
  </si>
  <si>
    <t>AUTRES CONTRIBUTIONS DUES PAR L'EMPLOYEUR</t>
  </si>
  <si>
    <t>CSG/RDS non déductible de limpôt sur le revenu (98,25 %)</t>
  </si>
  <si>
    <t>TOTAL DES COTISATIONS ET CONTRIBUTIONS</t>
  </si>
  <si>
    <t>CSG déductible de l'impôt sur le revenu (98,25 %)</t>
  </si>
  <si>
    <t>Coût voiture total = Participation auto / 30%</t>
  </si>
  <si>
    <t>Pour rappel, cout total voiture :</t>
  </si>
  <si>
    <t>Feuille de paye 2025</t>
  </si>
  <si>
    <t>Complémentaire Santé (suivant contrat souscrit)</t>
  </si>
  <si>
    <t>Si augmentation, les charges sociales pour l'augmentation seule, sont de :</t>
  </si>
  <si>
    <r>
      <rPr>
        <b/>
        <sz val="14"/>
        <color theme="1"/>
        <rFont val="Aptos Narrow"/>
        <family val="2"/>
        <scheme val="minor"/>
      </rPr>
      <t>Choix 1</t>
    </r>
    <r>
      <rPr>
        <sz val="14"/>
        <color theme="1"/>
        <rFont val="Aptos Narrow"/>
        <family val="2"/>
        <scheme val="minor"/>
      </rPr>
      <t>, participation à 50% et augmentation de la prime compensatrice (au choix).</t>
    </r>
  </si>
  <si>
    <t>Coût voiture = Participation utilisation auto + Charges Sociales sur les avantages en nature + Imposition sur les avantages en nature - prime comp. (après impôts)</t>
  </si>
  <si>
    <r>
      <t>Total employeur = (</t>
    </r>
    <r>
      <rPr>
        <u/>
        <sz val="11"/>
        <color theme="1"/>
        <rFont val="Aptos Narrow"/>
        <family val="2"/>
        <scheme val="minor"/>
      </rPr>
      <t>Location + entretient + assurance</t>
    </r>
    <r>
      <rPr>
        <sz val="11"/>
        <color theme="1"/>
        <rFont val="Aptos Narrow"/>
        <family val="2"/>
        <scheme val="minor"/>
      </rPr>
      <t xml:space="preserve">) + </t>
    </r>
    <r>
      <rPr>
        <u/>
        <sz val="11"/>
        <color theme="1"/>
        <rFont val="Aptos Narrow"/>
        <family val="2"/>
        <scheme val="minor"/>
      </rPr>
      <t>Prime employé</t>
    </r>
    <r>
      <rPr>
        <sz val="11"/>
        <color theme="1"/>
        <rFont val="Aptos Narrow"/>
        <family val="2"/>
        <scheme val="minor"/>
      </rPr>
      <t xml:space="preserve"> + </t>
    </r>
    <r>
      <rPr>
        <u/>
        <sz val="11"/>
        <color theme="1"/>
        <rFont val="Aptos Narrow"/>
        <family val="2"/>
        <scheme val="minor"/>
      </rPr>
      <t>Charge employeur sur la prime</t>
    </r>
    <r>
      <rPr>
        <sz val="11"/>
        <color theme="1"/>
        <rFont val="Aptos Narrow"/>
        <family val="2"/>
        <scheme val="minor"/>
      </rPr>
      <t xml:space="preserve"> + </t>
    </r>
    <r>
      <rPr>
        <u/>
        <sz val="11"/>
        <color theme="1"/>
        <rFont val="Aptos Narrow"/>
        <family val="2"/>
        <scheme val="minor"/>
      </rPr>
      <t>Charge employeur sur l'avantage en nature</t>
    </r>
    <r>
      <rPr>
        <sz val="11"/>
        <color theme="1"/>
        <rFont val="Aptos Narrow"/>
        <family val="2"/>
        <scheme val="minor"/>
      </rPr>
      <t xml:space="preserve"> - </t>
    </r>
    <r>
      <rPr>
        <u/>
        <sz val="11"/>
        <color theme="1"/>
        <rFont val="Aptos Narrow"/>
        <family val="2"/>
        <scheme val="minor"/>
      </rPr>
      <t>Participation utilisation auto</t>
    </r>
  </si>
  <si>
    <r>
      <t xml:space="preserve">Charges sociales pour les salaires (TOTAL BRUT) supérieur à : </t>
    </r>
    <r>
      <rPr>
        <b/>
        <sz val="11"/>
        <color theme="1"/>
        <rFont val="Aptos Narrow"/>
        <family val="2"/>
        <scheme val="minor"/>
      </rPr>
      <t>3925,00 €</t>
    </r>
    <r>
      <rPr>
        <sz val="11"/>
        <color theme="1"/>
        <rFont val="Aptos Narrow"/>
        <family val="2"/>
        <scheme val="minor"/>
      </rPr>
      <t xml:space="preserve"> :</t>
    </r>
  </si>
  <si>
    <t>Le 08/04/2025</t>
  </si>
  <si>
    <t>Les cases bleu peuvent être modifiées</t>
  </si>
  <si>
    <t>Charges Sociales : voir page 2</t>
  </si>
  <si>
    <t>Cout essence :</t>
  </si>
  <si>
    <t xml:space="preserve">Km : </t>
  </si>
  <si>
    <t>Voiture personnel avec remboursement des km</t>
  </si>
  <si>
    <t>Multiplicateur :</t>
  </si>
  <si>
    <t>Montant à ajouter :</t>
  </si>
  <si>
    <t>Montant à calculé à rembourser :</t>
  </si>
  <si>
    <t>Coefficient pour 6cv année 2025</t>
  </si>
  <si>
    <t>Remboursement des km :</t>
  </si>
  <si>
    <t>Cout litre essence (euro/litre)</t>
  </si>
  <si>
    <t>Nombre de litres pour km total :</t>
  </si>
  <si>
    <t>2025 pour véhicule 6cv</t>
  </si>
  <si>
    <t>Kilomètres professionnel :</t>
  </si>
  <si>
    <t>Consommation (litres / 100km)</t>
  </si>
  <si>
    <t>Voiture perso sans essence :</t>
  </si>
  <si>
    <t>Voiture de loc. sans essence :</t>
  </si>
  <si>
    <t>Plus de 20 000 km</t>
  </si>
  <si>
    <t>5 000 km max</t>
  </si>
  <si>
    <t>5 001 à 20 000 km</t>
  </si>
  <si>
    <t>NON CADRE</t>
  </si>
  <si>
    <t>Vérifié sur le simulateur de impot.gouv.fr en avril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</si>
</sst>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* #,##0.00\ &quot;€&quot;_-;\-* #,##0.00\ &quot;€&quot;_-;_-* &quot;-&quot;??\ &quot;€&quot;_-;_-@_-"/>
    <numFmt numFmtId="164" formatCode="&quot;jusqu'à : &quot;#,##0\ &quot;€&quot;"/>
    <numFmt numFmtId="165" formatCode="&quot;max : &quot;#,##0\ &quot;€&quot;"/>
    <numFmt numFmtId="166" formatCode="&quot;au dessus de : &quot;#,##0\ &quot;€&quot;"/>
    <numFmt numFmtId="167" formatCode="#,##0.00\ &quot;€&quot;"/>
    <numFmt numFmtId="168" formatCode="0.0000%"/>
    <numFmt numFmtId="169" formatCode="&quot;reste &quot;#,##0.00\ &quot;€&quot;&quot; net&quot;"/>
    <numFmt numFmtId="170" formatCode="&quot;Soit &quot;#,##0.00\ &quot;€&quot;&quot; d'impôts en moins&quot;"/>
    <numFmt numFmtId="171" formatCode="#,##0.00\ &quot;€&quot;&quot; d'impôts en moins&quot;"/>
    <numFmt numFmtId="172" formatCode="&quot;reste &quot;#,##0.00\ &quot;€&quot;&quot; apres impots&quot;"/>
    <numFmt numFmtId="173" formatCode="&quot;= &quot;#,##0.00\ &quot;€&quot;"/>
    <numFmt numFmtId="174" formatCode="&quot;Soit &quot;#,##0.00\ &quot;€&quot;&quot; d'impôts en plus&quot;"/>
    <numFmt numFmtId="175" formatCode="&quot;Soit &quot;#,##0.00\ &quot;€&quot;&quot; de charge en plus&quot;"/>
    <numFmt numFmtId="176" formatCode="#,##0.00\ &quot;€&quot;&quot; brut&quot;"/>
    <numFmt numFmtId="177" formatCode="#,##0.00\ &quot;€&quot;&quot; de retenue&quot;"/>
  </numFmts>
  <fonts count="19">
    <font>
      <sz val="11"/>
      <color theme="1"/>
      <name val="Aptos Narrow"/>
      <family val="2"/>
      <scheme val="minor"/>
    </font>
    <font>
      <sz val="11"/>
      <color theme="0" tint="-4.9989318521683403E-2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000000"/>
      <name val="Segoe UI"/>
      <family val="2"/>
    </font>
    <font>
      <u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color rgb="FF468847"/>
      <name val="Arial"/>
      <family val="2"/>
    </font>
    <font>
      <sz val="8"/>
      <color rgb="FF468847"/>
      <name val="Inherit"/>
    </font>
    <font>
      <b/>
      <sz val="8"/>
      <color rgb="FF468847"/>
      <name val="Inherit"/>
    </font>
    <font>
      <b/>
      <sz val="8"/>
      <color rgb="FF468847"/>
      <name val="Arial"/>
      <family val="2"/>
    </font>
    <font>
      <sz val="9"/>
      <color rgb="FF468847"/>
      <name val="Arial"/>
      <family val="2"/>
    </font>
    <font>
      <b/>
      <sz val="9"/>
      <color rgb="FF468847"/>
      <name val="Arial"/>
      <family val="2"/>
    </font>
    <font>
      <sz val="12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3" tint="0.89996032593768116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</fills>
  <borders count="4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29">
    <xf numFmtId="0" fontId="0" fillId="0" borderId="0" xfId="0"/>
    <xf numFmtId="0" fontId="0" fillId="3" borderId="0" xfId="0" applyFill="1"/>
    <xf numFmtId="0" fontId="0" fillId="3" borderId="1" xfId="0" applyFill="1" applyBorder="1"/>
    <xf numFmtId="167" fontId="0" fillId="3" borderId="0" xfId="0" applyNumberFormat="1" applyFill="1"/>
    <xf numFmtId="164" fontId="0" fillId="3" borderId="3" xfId="0" applyNumberFormat="1" applyFill="1" applyBorder="1" applyAlignment="1" applyProtection="1">
      <alignment horizontal="left"/>
      <protection locked="0"/>
    </xf>
    <xf numFmtId="0" fontId="0" fillId="3" borderId="5" xfId="0" applyFill="1" applyBorder="1"/>
    <xf numFmtId="165" fontId="0" fillId="3" borderId="3" xfId="0" applyNumberFormat="1" applyFill="1" applyBorder="1" applyAlignment="1" applyProtection="1">
      <alignment horizontal="left"/>
      <protection locked="0"/>
    </xf>
    <xf numFmtId="10" fontId="0" fillId="3" borderId="0" xfId="0" applyNumberFormat="1" applyFill="1"/>
    <xf numFmtId="0" fontId="0" fillId="3" borderId="6" xfId="0" applyFill="1" applyBorder="1"/>
    <xf numFmtId="166" fontId="0" fillId="3" borderId="7" xfId="0" applyNumberFormat="1" applyFill="1" applyBorder="1" applyAlignment="1">
      <alignment horizontal="left"/>
    </xf>
    <xf numFmtId="9" fontId="0" fillId="3" borderId="0" xfId="0" applyNumberFormat="1" applyFill="1"/>
    <xf numFmtId="9" fontId="0" fillId="3" borderId="0" xfId="0" applyNumberFormat="1" applyFill="1" applyProtection="1">
      <protection locked="0"/>
    </xf>
    <xf numFmtId="0" fontId="0" fillId="3" borderId="17" xfId="0" applyFill="1" applyBorder="1"/>
    <xf numFmtId="167" fontId="0" fillId="2" borderId="2" xfId="0" applyNumberFormat="1" applyFill="1" applyBorder="1" applyProtection="1">
      <protection locked="0"/>
    </xf>
    <xf numFmtId="167" fontId="0" fillId="2" borderId="4" xfId="0" applyNumberFormat="1" applyFill="1" applyBorder="1" applyProtection="1">
      <protection locked="0"/>
    </xf>
    <xf numFmtId="0" fontId="0" fillId="0" borderId="1" xfId="0" applyBorder="1"/>
    <xf numFmtId="0" fontId="0" fillId="0" borderId="6" xfId="0" applyBorder="1"/>
    <xf numFmtId="167" fontId="0" fillId="0" borderId="7" xfId="0" applyNumberFormat="1" applyBorder="1"/>
    <xf numFmtId="0" fontId="0" fillId="0" borderId="19" xfId="0" applyBorder="1"/>
    <xf numFmtId="167" fontId="0" fillId="0" borderId="9" xfId="0" applyNumberFormat="1" applyBorder="1"/>
    <xf numFmtId="0" fontId="1" fillId="3" borderId="0" xfId="0" applyFont="1" applyFill="1" applyProtection="1">
      <protection locked="0"/>
    </xf>
    <xf numFmtId="0" fontId="1" fillId="3" borderId="0" xfId="0" applyFont="1" applyFill="1"/>
    <xf numFmtId="167" fontId="0" fillId="2" borderId="8" xfId="0" applyNumberFormat="1" applyFill="1" applyBorder="1" applyProtection="1">
      <protection locked="0"/>
    </xf>
    <xf numFmtId="0" fontId="3" fillId="3" borderId="0" xfId="0" applyFont="1" applyFill="1"/>
    <xf numFmtId="167" fontId="4" fillId="3" borderId="0" xfId="0" applyNumberFormat="1" applyFont="1" applyFill="1" applyAlignment="1">
      <alignment horizontal="center"/>
    </xf>
    <xf numFmtId="0" fontId="2" fillId="3" borderId="0" xfId="0" applyFont="1" applyFill="1"/>
    <xf numFmtId="0" fontId="0" fillId="3" borderId="0" xfId="0" quotePrefix="1" applyFill="1"/>
    <xf numFmtId="0" fontId="3" fillId="3" borderId="0" xfId="0" applyFont="1" applyFill="1" applyAlignment="1">
      <alignment horizontal="center"/>
    </xf>
    <xf numFmtId="0" fontId="0" fillId="3" borderId="20" xfId="0" applyFill="1" applyBorder="1"/>
    <xf numFmtId="167" fontId="0" fillId="0" borderId="21" xfId="0" applyNumberFormat="1" applyBorder="1"/>
    <xf numFmtId="167" fontId="0" fillId="0" borderId="3" xfId="0" applyNumberFormat="1" applyBorder="1"/>
    <xf numFmtId="10" fontId="0" fillId="0" borderId="2" xfId="0" applyNumberFormat="1" applyBorder="1" applyAlignment="1">
      <alignment horizontal="center"/>
    </xf>
    <xf numFmtId="169" fontId="0" fillId="0" borderId="8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173" fontId="0" fillId="3" borderId="0" xfId="0" applyNumberFormat="1" applyFill="1" applyAlignment="1">
      <alignment horizontal="left"/>
    </xf>
    <xf numFmtId="168" fontId="0" fillId="3" borderId="0" xfId="0" applyNumberFormat="1" applyFill="1" applyAlignment="1">
      <alignment horizontal="center"/>
    </xf>
    <xf numFmtId="167" fontId="0" fillId="3" borderId="0" xfId="0" applyNumberFormat="1" applyFill="1" applyAlignment="1">
      <alignment horizontal="center"/>
    </xf>
    <xf numFmtId="172" fontId="0" fillId="5" borderId="18" xfId="0" applyNumberFormat="1" applyFill="1" applyBorder="1" applyAlignment="1">
      <alignment horizontal="center"/>
    </xf>
    <xf numFmtId="0" fontId="9" fillId="3" borderId="0" xfId="0" applyFont="1" applyFill="1"/>
    <xf numFmtId="0" fontId="13" fillId="0" borderId="0" xfId="0" applyFont="1"/>
    <xf numFmtId="0" fontId="14" fillId="0" borderId="0" xfId="0" applyFont="1"/>
    <xf numFmtId="0" fontId="16" fillId="0" borderId="0" xfId="0" applyFont="1"/>
    <xf numFmtId="0" fontId="10" fillId="0" borderId="0" xfId="0" applyFont="1"/>
    <xf numFmtId="2" fontId="0" fillId="0" borderId="0" xfId="0" applyNumberFormat="1"/>
    <xf numFmtId="10" fontId="0" fillId="3" borderId="0" xfId="0" applyNumberFormat="1" applyFill="1" applyAlignment="1">
      <alignment horizontal="center"/>
    </xf>
    <xf numFmtId="0" fontId="17" fillId="3" borderId="0" xfId="0" applyFont="1" applyFill="1"/>
    <xf numFmtId="167" fontId="0" fillId="3" borderId="0" xfId="0" applyNumberFormat="1" applyFill="1" applyAlignment="1">
      <alignment horizontal="left"/>
    </xf>
    <xf numFmtId="2" fontId="0" fillId="2" borderId="14" xfId="0" applyNumberFormat="1" applyFill="1" applyBorder="1"/>
    <xf numFmtId="2" fontId="0" fillId="0" borderId="16" xfId="0" applyNumberFormat="1" applyBorder="1"/>
    <xf numFmtId="0" fontId="0" fillId="0" borderId="13" xfId="0" applyBorder="1"/>
    <xf numFmtId="0" fontId="0" fillId="0" borderId="3" xfId="0" applyBorder="1"/>
    <xf numFmtId="0" fontId="0" fillId="0" borderId="7" xfId="0" applyBorder="1"/>
    <xf numFmtId="0" fontId="0" fillId="8" borderId="3" xfId="0" applyFill="1" applyBorder="1"/>
    <xf numFmtId="0" fontId="0" fillId="8" borderId="7" xfId="0" applyFill="1" applyBorder="1"/>
    <xf numFmtId="0" fontId="0" fillId="0" borderId="9" xfId="0" applyBorder="1"/>
    <xf numFmtId="0" fontId="0" fillId="0" borderId="18" xfId="0" applyBorder="1"/>
    <xf numFmtId="0" fontId="0" fillId="0" borderId="25" xfId="0" applyBorder="1"/>
    <xf numFmtId="0" fontId="0" fillId="0" borderId="26" xfId="0" applyBorder="1"/>
    <xf numFmtId="2" fontId="0" fillId="0" borderId="17" xfId="0" applyNumberFormat="1" applyBorder="1"/>
    <xf numFmtId="0" fontId="0" fillId="0" borderId="37" xfId="0" applyBorder="1"/>
    <xf numFmtId="2" fontId="0" fillId="0" borderId="25" xfId="0" applyNumberFormat="1" applyBorder="1"/>
    <xf numFmtId="0" fontId="0" fillId="8" borderId="13" xfId="0" applyFill="1" applyBorder="1"/>
    <xf numFmtId="2" fontId="0" fillId="8" borderId="3" xfId="0" applyNumberFormat="1" applyFill="1" applyBorder="1"/>
    <xf numFmtId="0" fontId="0" fillId="9" borderId="3" xfId="0" applyFill="1" applyBorder="1"/>
    <xf numFmtId="0" fontId="0" fillId="9" borderId="7" xfId="0" applyFill="1" applyBorder="1"/>
    <xf numFmtId="0" fontId="0" fillId="9" borderId="13" xfId="0" applyFill="1" applyBorder="1"/>
    <xf numFmtId="44" fontId="0" fillId="0" borderId="13" xfId="0" applyNumberFormat="1" applyBorder="1"/>
    <xf numFmtId="44" fontId="0" fillId="0" borderId="3" xfId="0" applyNumberFormat="1" applyBorder="1"/>
    <xf numFmtId="44" fontId="0" fillId="0" borderId="7" xfId="0" applyNumberFormat="1" applyBorder="1"/>
    <xf numFmtId="44" fontId="0" fillId="0" borderId="0" xfId="0" applyNumberFormat="1"/>
    <xf numFmtId="44" fontId="0" fillId="0" borderId="9" xfId="0" applyNumberFormat="1" applyBorder="1"/>
    <xf numFmtId="44" fontId="0" fillId="0" borderId="2" xfId="0" applyNumberFormat="1" applyBorder="1"/>
    <xf numFmtId="44" fontId="0" fillId="0" borderId="4" xfId="0" applyNumberFormat="1" applyBorder="1"/>
    <xf numFmtId="44" fontId="0" fillId="6" borderId="4" xfId="0" applyNumberFormat="1" applyFill="1" applyBorder="1"/>
    <xf numFmtId="44" fontId="0" fillId="0" borderId="8" xfId="0" applyNumberFormat="1" applyBorder="1"/>
    <xf numFmtId="44" fontId="0" fillId="0" borderId="18" xfId="0" applyNumberFormat="1" applyBorder="1"/>
    <xf numFmtId="176" fontId="0" fillId="0" borderId="7" xfId="0" applyNumberFormat="1" applyBorder="1"/>
    <xf numFmtId="177" fontId="0" fillId="0" borderId="7" xfId="0" applyNumberFormat="1" applyBorder="1" applyAlignment="1">
      <alignment horizontal="center"/>
    </xf>
    <xf numFmtId="0" fontId="0" fillId="10" borderId="17" xfId="0" applyFill="1" applyBorder="1"/>
    <xf numFmtId="170" fontId="0" fillId="10" borderId="0" xfId="0" applyNumberFormat="1" applyFill="1" applyAlignment="1">
      <alignment horizontal="center"/>
    </xf>
    <xf numFmtId="0" fontId="0" fillId="10" borderId="0" xfId="0" applyFill="1"/>
    <xf numFmtId="0" fontId="0" fillId="4" borderId="24" xfId="0" applyFill="1" applyBorder="1"/>
    <xf numFmtId="167" fontId="0" fillId="10" borderId="0" xfId="0" applyNumberFormat="1" applyFill="1"/>
    <xf numFmtId="0" fontId="4" fillId="3" borderId="0" xfId="0" applyFont="1" applyFill="1"/>
    <xf numFmtId="0" fontId="0" fillId="10" borderId="39" xfId="0" applyFill="1" applyBorder="1"/>
    <xf numFmtId="171" fontId="0" fillId="10" borderId="0" xfId="0" applyNumberFormat="1" applyFill="1" applyAlignment="1">
      <alignment horizontal="center"/>
    </xf>
    <xf numFmtId="175" fontId="0" fillId="5" borderId="2" xfId="0" applyNumberFormat="1" applyFill="1" applyBorder="1" applyAlignment="1">
      <alignment horizontal="center"/>
    </xf>
    <xf numFmtId="174" fontId="0" fillId="5" borderId="22" xfId="0" applyNumberFormat="1" applyFill="1" applyBorder="1" applyAlignment="1">
      <alignment horizontal="center"/>
    </xf>
    <xf numFmtId="0" fontId="0" fillId="3" borderId="27" xfId="0" applyFill="1" applyBorder="1"/>
    <xf numFmtId="0" fontId="0" fillId="3" borderId="13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0" borderId="3" xfId="0" applyBorder="1" applyAlignment="1">
      <alignment horizontal="right"/>
    </xf>
    <xf numFmtId="0" fontId="0" fillId="2" borderId="3" xfId="0" applyFill="1" applyBorder="1" applyProtection="1">
      <protection locked="0"/>
    </xf>
    <xf numFmtId="0" fontId="0" fillId="3" borderId="41" xfId="0" applyFill="1" applyBorder="1"/>
    <xf numFmtId="0" fontId="0" fillId="3" borderId="42" xfId="0" applyFill="1" applyBorder="1"/>
    <xf numFmtId="0" fontId="0" fillId="11" borderId="3" xfId="0" applyFill="1" applyBorder="1"/>
    <xf numFmtId="0" fontId="0" fillId="10" borderId="3" xfId="0" applyFill="1" applyBorder="1" applyProtection="1">
      <protection locked="0"/>
    </xf>
    <xf numFmtId="0" fontId="0" fillId="11" borderId="3" xfId="0" applyFill="1" applyBorder="1" applyProtection="1">
      <protection locked="0"/>
    </xf>
    <xf numFmtId="167" fontId="0" fillId="10" borderId="3" xfId="0" applyNumberFormat="1" applyFill="1" applyBorder="1" applyProtection="1">
      <protection locked="0"/>
    </xf>
    <xf numFmtId="0" fontId="0" fillId="0" borderId="42" xfId="0" applyBorder="1"/>
    <xf numFmtId="0" fontId="0" fillId="0" borderId="41" xfId="0" applyBorder="1"/>
    <xf numFmtId="0" fontId="18" fillId="3" borderId="0" xfId="0" applyFont="1" applyFill="1"/>
    <xf numFmtId="44" fontId="0" fillId="11" borderId="3" xfId="0" applyNumberFormat="1" applyFill="1" applyBorder="1"/>
    <xf numFmtId="3" fontId="0" fillId="2" borderId="3" xfId="0" applyNumberFormat="1" applyFill="1" applyBorder="1" applyProtection="1">
      <protection locked="0"/>
    </xf>
    <xf numFmtId="9" fontId="0" fillId="2" borderId="16" xfId="0" applyNumberFormat="1" applyFill="1" applyBorder="1" applyProtection="1">
      <protection locked="0"/>
    </xf>
    <xf numFmtId="0" fontId="0" fillId="2" borderId="12" xfId="0" applyFill="1" applyBorder="1"/>
    <xf numFmtId="0" fontId="0" fillId="3" borderId="14" xfId="0" applyFill="1" applyBorder="1"/>
    <xf numFmtId="0" fontId="0" fillId="0" borderId="10" xfId="0" applyBorder="1"/>
    <xf numFmtId="0" fontId="0" fillId="3" borderId="0" xfId="0" applyFill="1"/>
    <xf numFmtId="0" fontId="0" fillId="0" borderId="0" xfId="0"/>
    <xf numFmtId="9" fontId="0" fillId="2" borderId="15" xfId="0" applyNumberFormat="1" applyFill="1" applyBorder="1" applyProtection="1">
      <protection locked="0"/>
    </xf>
    <xf numFmtId="0" fontId="0" fillId="2" borderId="11" xfId="0" applyFill="1" applyBorder="1"/>
    <xf numFmtId="0" fontId="0" fillId="0" borderId="29" xfId="0" applyBorder="1"/>
    <xf numFmtId="0" fontId="0" fillId="0" borderId="38" xfId="0" applyBorder="1"/>
    <xf numFmtId="0" fontId="0" fillId="0" borderId="30" xfId="0" applyBorder="1"/>
    <xf numFmtId="0" fontId="0" fillId="2" borderId="15" xfId="0" applyFill="1" applyBorder="1" applyAlignment="1">
      <alignment horizontal="center" vertical="center"/>
    </xf>
    <xf numFmtId="0" fontId="0" fillId="2" borderId="40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0" fillId="10" borderId="0" xfId="0" applyFill="1"/>
    <xf numFmtId="0" fontId="0" fillId="0" borderId="34" xfId="0" applyBorder="1"/>
    <xf numFmtId="0" fontId="0" fillId="0" borderId="23" xfId="0" applyBorder="1"/>
    <xf numFmtId="0" fontId="0" fillId="0" borderId="28" xfId="0" applyBorder="1"/>
    <xf numFmtId="0" fontId="0" fillId="0" borderId="33" xfId="0" applyBorder="1"/>
    <xf numFmtId="0" fontId="0" fillId="0" borderId="31" xfId="0" applyBorder="1"/>
    <xf numFmtId="0" fontId="0" fillId="0" borderId="32" xfId="0" applyBorder="1"/>
    <xf numFmtId="0" fontId="0" fillId="0" borderId="35" xfId="0" applyBorder="1"/>
    <xf numFmtId="0" fontId="0" fillId="0" borderId="36" xfId="0" applyBorder="1"/>
    <xf numFmtId="0" fontId="18" fillId="7" borderId="15" xfId="0" applyFont="1" applyFill="1" applyBorder="1" applyAlignment="1">
      <alignment horizontal="left"/>
    </xf>
    <xf numFmtId="0" fontId="18" fillId="7" borderId="23" xfId="0" applyFont="1" applyFill="1" applyBorder="1" applyAlignment="1">
      <alignment horizontal="left"/>
    </xf>
  </cellXfs>
  <cellStyles count="1">
    <cellStyle name="Normal" xfId="0" builtinId="0"/>
  </cellStyles>
  <dxfs count="3">
    <dxf>
      <fill>
        <patternFill patternType="lightUp">
          <bgColor theme="2"/>
        </patternFill>
      </fill>
    </dxf>
    <dxf>
      <fill>
        <patternFill patternType="lightUp">
          <bgColor theme="2"/>
        </patternFill>
      </fill>
    </dxf>
    <dxf>
      <fill>
        <patternFill patternType="lightUp">
          <bgColor theme="2"/>
        </patternFill>
      </fill>
    </dxf>
  </dxfs>
  <tableStyles count="0" defaultTableStyle="TableStyleMedium2" defaultPivotStyle="PivotStyleLight16"/>
  <colors>
    <mruColors>
      <color rgb="FFFFFF66"/>
      <color rgb="FFFF9900"/>
      <color rgb="FFE8E8E8"/>
      <color rgb="FFD7D7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O$10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checked="Checked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List" dx="26" fmlaLink="$O$43" fmlaRange="$N$43:$N$44" sel="2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95250</xdr:colOff>
          <xdr:row>4</xdr:row>
          <xdr:rowOff>19050</xdr:rowOff>
        </xdr:from>
        <xdr:to>
          <xdr:col>13</xdr:col>
          <xdr:colOff>495300</xdr:colOff>
          <xdr:row>9</xdr:row>
          <xdr:rowOff>0</xdr:rowOff>
        </xdr:to>
        <xdr:grpSp>
          <xdr:nvGrpSpPr>
            <xdr:cNvPr id="3" name="Groupe 2">
              <a:extLst>
                <a:ext uri="{FF2B5EF4-FFF2-40B4-BE49-F238E27FC236}">
                  <a16:creationId xmlns:a16="http://schemas.microsoft.com/office/drawing/2014/main" id="{AD9B4E5F-D333-C28D-F031-8AE7FB77A7EB}"/>
                </a:ext>
              </a:extLst>
            </xdr:cNvPr>
            <xdr:cNvGrpSpPr/>
          </xdr:nvGrpSpPr>
          <xdr:grpSpPr>
            <a:xfrm>
              <a:off x="13369290" y="853440"/>
              <a:ext cx="984885" cy="965835"/>
              <a:chOff x="13373100" y="857250"/>
              <a:chExt cx="981075" cy="914400"/>
            </a:xfrm>
          </xdr:grpSpPr>
          <xdr:sp macro="" textlink="">
            <xdr:nvSpPr>
              <xdr:cNvPr id="1031" name="Option Button 7" hidden="1">
                <a:extLst>
                  <a:ext uri="{63B3BB69-23CF-44E3-9099-C40C66FF867C}">
                    <a14:compatExt spid="_x0000_s1031"/>
                  </a:ext>
                  <a:ext uri="{FF2B5EF4-FFF2-40B4-BE49-F238E27FC236}">
                    <a16:creationId xmlns:a16="http://schemas.microsoft.com/office/drawing/2014/main" id="{00000000-0008-0000-0000-000007040000}"/>
                  </a:ext>
                </a:extLst>
              </xdr:cNvPr>
              <xdr:cNvSpPr/>
            </xdr:nvSpPr>
            <xdr:spPr bwMode="auto">
              <a:xfrm>
                <a:off x="13373100" y="857250"/>
                <a:ext cx="920115" cy="152401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       0%</a:t>
                </a:r>
              </a:p>
            </xdr:txBody>
          </xdr:sp>
          <xdr:sp macro="" textlink="">
            <xdr:nvSpPr>
              <xdr:cNvPr id="1032" name="Option Button 8" hidden="1">
                <a:extLst>
                  <a:ext uri="{63B3BB69-23CF-44E3-9099-C40C66FF867C}">
                    <a14:compatExt spid="_x0000_s1032"/>
                  </a:ext>
                  <a:ext uri="{FF2B5EF4-FFF2-40B4-BE49-F238E27FC236}">
                    <a16:creationId xmlns:a16="http://schemas.microsoft.com/office/drawing/2014/main" id="{00000000-0008-0000-0000-000008040000}"/>
                  </a:ext>
                </a:extLst>
              </xdr:cNvPr>
              <xdr:cNvSpPr/>
            </xdr:nvSpPr>
            <xdr:spPr bwMode="auto">
              <a:xfrm>
                <a:off x="13373100" y="1038225"/>
                <a:ext cx="920115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       11%</a:t>
                </a:r>
              </a:p>
            </xdr:txBody>
          </xdr:sp>
          <xdr:sp macro="" textlink="">
            <xdr:nvSpPr>
              <xdr:cNvPr id="1033" name="Option Button 9" hidden="1">
                <a:extLst>
                  <a:ext uri="{63B3BB69-23CF-44E3-9099-C40C66FF867C}">
                    <a14:compatExt spid="_x0000_s1033"/>
                  </a:ext>
                  <a:ext uri="{FF2B5EF4-FFF2-40B4-BE49-F238E27FC236}">
                    <a16:creationId xmlns:a16="http://schemas.microsoft.com/office/drawing/2014/main" id="{00000000-0008-0000-0000-000009040000}"/>
                  </a:ext>
                </a:extLst>
              </xdr:cNvPr>
              <xdr:cNvSpPr/>
            </xdr:nvSpPr>
            <xdr:spPr bwMode="auto">
              <a:xfrm>
                <a:off x="13382625" y="1209675"/>
                <a:ext cx="914400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       30%</a:t>
                </a:r>
              </a:p>
            </xdr:txBody>
          </xdr:sp>
          <xdr:sp macro="" textlink="">
            <xdr:nvSpPr>
              <xdr:cNvPr id="1034" name="Option Button 10" hidden="1">
                <a:extLst>
                  <a:ext uri="{63B3BB69-23CF-44E3-9099-C40C66FF867C}">
                    <a14:compatExt spid="_x0000_s1034"/>
                  </a:ext>
                  <a:ext uri="{FF2B5EF4-FFF2-40B4-BE49-F238E27FC236}">
                    <a16:creationId xmlns:a16="http://schemas.microsoft.com/office/drawing/2014/main" id="{00000000-0008-0000-0000-00000A040000}"/>
                  </a:ext>
                </a:extLst>
              </xdr:cNvPr>
              <xdr:cNvSpPr/>
            </xdr:nvSpPr>
            <xdr:spPr bwMode="auto">
              <a:xfrm>
                <a:off x="13392150" y="1409700"/>
                <a:ext cx="962025" cy="15049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       41%</a:t>
                </a:r>
              </a:p>
            </xdr:txBody>
          </xdr:sp>
          <xdr:sp macro="" textlink="">
            <xdr:nvSpPr>
              <xdr:cNvPr id="1035" name="Option Button 11" hidden="1">
                <a:extLst>
                  <a:ext uri="{63B3BB69-23CF-44E3-9099-C40C66FF867C}">
                    <a14:compatExt spid="_x0000_s1035"/>
                  </a:ext>
                  <a:ext uri="{FF2B5EF4-FFF2-40B4-BE49-F238E27FC236}">
                    <a16:creationId xmlns:a16="http://schemas.microsoft.com/office/drawing/2014/main" id="{00000000-0008-0000-0000-00000B040000}"/>
                  </a:ext>
                </a:extLst>
              </xdr:cNvPr>
              <xdr:cNvSpPr/>
            </xdr:nvSpPr>
            <xdr:spPr bwMode="auto">
              <a:xfrm>
                <a:off x="13392150" y="1600200"/>
                <a:ext cx="962025" cy="1714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fr-F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       45%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1386840</xdr:colOff>
          <xdr:row>43</xdr:row>
          <xdr:rowOff>53340</xdr:rowOff>
        </xdr:from>
        <xdr:to>
          <xdr:col>5</xdr:col>
          <xdr:colOff>1577340</xdr:colOff>
          <xdr:row>44</xdr:row>
          <xdr:rowOff>175260</xdr:rowOff>
        </xdr:to>
        <xdr:sp macro="" textlink="">
          <xdr:nvSpPr>
            <xdr:cNvPr id="1052" name="List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9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37ED1-5CE9-46A8-9DEB-517D48907A87}">
  <sheetPr codeName="Feuil1"/>
  <dimension ref="B1:P90"/>
  <sheetViews>
    <sheetView tabSelected="1" zoomScaleNormal="100" workbookViewId="0"/>
  </sheetViews>
  <sheetFormatPr baseColWidth="10" defaultRowHeight="14.4"/>
  <cols>
    <col min="1" max="1" width="2.88671875" style="1" customWidth="1"/>
    <col min="2" max="2" width="2.77734375" style="1" customWidth="1"/>
    <col min="3" max="3" width="28.5546875" style="1" customWidth="1"/>
    <col min="4" max="4" width="19.33203125" style="1" customWidth="1"/>
    <col min="5" max="5" width="22" style="1" customWidth="1"/>
    <col min="6" max="6" width="29.88671875" style="1" customWidth="1"/>
    <col min="7" max="7" width="11.5546875" style="1"/>
    <col min="8" max="10" width="14.88671875" style="1" customWidth="1"/>
    <col min="11" max="11" width="10.109375" style="1" customWidth="1"/>
    <col min="12" max="12" width="21.88671875" style="1" customWidth="1"/>
    <col min="13" max="13" width="8.44140625" style="1" customWidth="1"/>
    <col min="14" max="14" width="9.44140625" style="1" customWidth="1"/>
    <col min="15" max="16384" width="11.5546875" style="1"/>
  </cols>
  <sheetData>
    <row r="1" spans="2:16">
      <c r="B1" s="1" t="s">
        <v>90</v>
      </c>
    </row>
    <row r="2" spans="2:16" ht="18">
      <c r="B2" s="115" t="s">
        <v>91</v>
      </c>
      <c r="C2" s="116"/>
      <c r="D2" s="117"/>
      <c r="F2" s="27" t="s">
        <v>81</v>
      </c>
      <c r="K2" s="1" t="s">
        <v>10</v>
      </c>
    </row>
    <row r="3" spans="2:16" ht="18.600000000000001" thickBot="1">
      <c r="B3" s="1" t="s">
        <v>112</v>
      </c>
      <c r="F3" s="24">
        <f>D8/30%</f>
        <v>683.33333333333337</v>
      </c>
      <c r="H3" s="3"/>
    </row>
    <row r="4" spans="2:16" ht="15" thickBot="1">
      <c r="L4" s="2" t="s">
        <v>32</v>
      </c>
      <c r="M4" s="106" t="s">
        <v>11</v>
      </c>
      <c r="N4" s="107"/>
    </row>
    <row r="5" spans="2:16" ht="18">
      <c r="C5" s="83" t="s">
        <v>0</v>
      </c>
      <c r="K5" s="2" t="s">
        <v>1</v>
      </c>
      <c r="L5" s="4">
        <v>11497</v>
      </c>
      <c r="M5" s="110"/>
      <c r="N5" s="111"/>
    </row>
    <row r="6" spans="2:16" ht="15" thickBot="1">
      <c r="D6" s="108" t="s">
        <v>8</v>
      </c>
      <c r="E6" s="109"/>
      <c r="K6" s="5" t="s">
        <v>2</v>
      </c>
      <c r="L6" s="6">
        <v>29315</v>
      </c>
      <c r="M6" s="110"/>
      <c r="N6" s="111"/>
    </row>
    <row r="7" spans="2:16">
      <c r="C7" s="2" t="s">
        <v>12</v>
      </c>
      <c r="D7" s="13">
        <v>140</v>
      </c>
      <c r="E7" s="12"/>
      <c r="F7" s="3">
        <f>D15+2.9%</f>
        <v>115.30004959999999</v>
      </c>
      <c r="K7" s="5" t="s">
        <v>3</v>
      </c>
      <c r="L7" s="6">
        <v>83823</v>
      </c>
      <c r="M7" s="110"/>
      <c r="N7" s="111"/>
    </row>
    <row r="8" spans="2:16" ht="15" thickBot="1">
      <c r="C8" s="8" t="s">
        <v>7</v>
      </c>
      <c r="D8" s="22">
        <v>205</v>
      </c>
      <c r="E8" s="78"/>
      <c r="F8" s="79"/>
      <c r="K8" s="5" t="s">
        <v>4</v>
      </c>
      <c r="L8" s="6">
        <v>180294</v>
      </c>
      <c r="M8" s="110"/>
      <c r="N8" s="111"/>
    </row>
    <row r="9" spans="2:16" ht="15" thickBot="1">
      <c r="C9" s="80"/>
      <c r="D9" s="82"/>
      <c r="G9" s="7"/>
      <c r="K9" s="8" t="s">
        <v>5</v>
      </c>
      <c r="L9" s="9">
        <f>L8</f>
        <v>180294</v>
      </c>
      <c r="M9" s="104"/>
      <c r="N9" s="105"/>
      <c r="P9" s="10"/>
    </row>
    <row r="10" spans="2:16">
      <c r="H10" s="1" t="s">
        <v>9</v>
      </c>
      <c r="O10" s="20">
        <v>3</v>
      </c>
    </row>
    <row r="11" spans="2:16" ht="15" thickBot="1">
      <c r="D11" s="1" t="s">
        <v>92</v>
      </c>
      <c r="F11" s="44" t="str">
        <f>IFERROR(1-(D12/#REF!),"")</f>
        <v/>
      </c>
      <c r="H11" s="1" t="s">
        <v>19</v>
      </c>
      <c r="L11" s="34">
        <f>$F$3-D8</f>
        <v>478.33333333333337</v>
      </c>
      <c r="O11" s="21" cm="1">
        <f t="array" ref="O11">_xlfn.SWITCH(O10,1,0,2,0.11,3,0.3,4,0.41,5,0.45)</f>
        <v>0.3</v>
      </c>
    </row>
    <row r="12" spans="2:16">
      <c r="C12" s="112" t="s">
        <v>89</v>
      </c>
      <c r="D12" s="113"/>
      <c r="E12" s="114"/>
      <c r="F12" s="31">
        <f>'page 2'!F32</f>
        <v>0.19983999999999999</v>
      </c>
    </row>
    <row r="13" spans="2:16" ht="15" thickBot="1">
      <c r="C13" s="16" t="s">
        <v>12</v>
      </c>
      <c r="D13" s="76">
        <f>D7</f>
        <v>140</v>
      </c>
      <c r="E13" s="77">
        <f>D13*$F$12</f>
        <v>27.977599999999999</v>
      </c>
      <c r="F13" s="32">
        <f>D13-E13</f>
        <v>112.0224</v>
      </c>
      <c r="H13" s="108" t="s">
        <v>17</v>
      </c>
      <c r="I13" s="109"/>
      <c r="J13" s="109"/>
      <c r="K13" s="35">
        <f>'page 2'!$H$32</f>
        <v>0.45482999999999996</v>
      </c>
    </row>
    <row r="14" spans="2:16" ht="15" thickBot="1">
      <c r="H14" s="1" t="s">
        <v>18</v>
      </c>
      <c r="K14" s="36">
        <f>$D$7*K13</f>
        <v>63.676199999999994</v>
      </c>
      <c r="N14" s="11"/>
    </row>
    <row r="15" spans="2:16" ht="15" thickBot="1">
      <c r="C15" s="18" t="s">
        <v>13</v>
      </c>
      <c r="D15" s="19">
        <f>F13+(F13*2.9%)</f>
        <v>115.2710496</v>
      </c>
      <c r="E15" s="33" t="str">
        <f>CONCATENATE("Imposé à ",TEXT($O$11,"0%"))</f>
        <v>Imposé à 30%</v>
      </c>
      <c r="F15" s="37">
        <f>D15-((D15*0.9)*$O$11)</f>
        <v>84.147866207999996</v>
      </c>
      <c r="H15" s="1" t="s">
        <v>16</v>
      </c>
      <c r="N15" s="11"/>
    </row>
    <row r="16" spans="2:16">
      <c r="H16" s="3" t="str">
        <f>CONCATENATE("Total employeur = ",TEXT(L11,"0,00 €")," + ",TEXT(D7,"0,00 €")," + ",TEXT(K14,"0,00 €"))</f>
        <v>Total employeur = 478,33 € + 140,00 € + 63,68 €</v>
      </c>
      <c r="N16" s="11"/>
    </row>
    <row r="17" spans="3:14" ht="15.6">
      <c r="G17" s="3"/>
      <c r="H17" s="25" t="str">
        <f>CONCATENATE("Total employeur = ",TEXT(L11+$D$7+K14,"0,00 €"))</f>
        <v>Total employeur = 682,01 €</v>
      </c>
      <c r="N17" s="11"/>
    </row>
    <row r="18" spans="3:14">
      <c r="C18" s="1" t="s">
        <v>33</v>
      </c>
      <c r="F18" s="3"/>
      <c r="N18" s="11"/>
    </row>
    <row r="19" spans="3:14" ht="15" thickBot="1">
      <c r="C19" s="1" t="str">
        <f>CONCATENATE("Coût voiture= ",D8," € - ",TEXT(F15,"0,00 €"))</f>
        <v>Coût voiture= 205 € - 84,15 €</v>
      </c>
    </row>
    <row r="20" spans="3:14" ht="15" thickBot="1">
      <c r="C20" s="81" t="str">
        <f>CONCATENATE("Coût voiture= ",TEXT(D8-F15,"0,00 €"))</f>
        <v>Coût voiture= 120,85 €</v>
      </c>
    </row>
    <row r="21" spans="3:14">
      <c r="C21" s="80" t="str">
        <f>CONCATENATE("Coût voiture sans prise en compte des impôts : ",TEXT($D$8-F13,"0,00 €"))</f>
        <v>Coût voiture sans prise en compte des impôts : 92,98 €</v>
      </c>
      <c r="D21" s="80"/>
    </row>
    <row r="23" spans="3:14">
      <c r="E23" s="26" t="s">
        <v>14</v>
      </c>
    </row>
    <row r="25" spans="3:14" ht="18">
      <c r="C25" s="23" t="s">
        <v>86</v>
      </c>
      <c r="F25" s="24"/>
    </row>
    <row r="26" spans="3:14" ht="15" thickBot="1">
      <c r="D26" s="108"/>
      <c r="E26" s="109"/>
    </row>
    <row r="27" spans="3:14">
      <c r="C27" s="2" t="s">
        <v>12</v>
      </c>
      <c r="D27" s="13">
        <v>310</v>
      </c>
      <c r="E27" s="12"/>
      <c r="H27" s="1" t="s">
        <v>9</v>
      </c>
    </row>
    <row r="28" spans="3:14" ht="15" thickBot="1">
      <c r="C28" s="8" t="s">
        <v>7</v>
      </c>
      <c r="D28" s="17">
        <f>$F$3/2</f>
        <v>341.66666666666669</v>
      </c>
      <c r="E28" s="84"/>
      <c r="F28" s="85"/>
      <c r="H28" s="1" t="s">
        <v>19</v>
      </c>
      <c r="L28" s="34">
        <f>$F$3-D28</f>
        <v>341.66666666666669</v>
      </c>
    </row>
    <row r="30" spans="3:14">
      <c r="E30" s="1" t="s">
        <v>6</v>
      </c>
      <c r="H30" s="108" t="s">
        <v>17</v>
      </c>
      <c r="I30" s="109"/>
      <c r="J30" s="109"/>
      <c r="K30" s="35">
        <f>'page 2'!$H$32</f>
        <v>0.45482999999999996</v>
      </c>
    </row>
    <row r="31" spans="3:14" ht="15" thickBot="1">
      <c r="C31" s="16" t="s">
        <v>12</v>
      </c>
      <c r="D31" s="17">
        <f>D27</f>
        <v>310</v>
      </c>
      <c r="E31" s="17">
        <f>D31*$F$12</f>
        <v>61.950399999999995</v>
      </c>
      <c r="F31" s="32">
        <f>D31-E31</f>
        <v>248.0496</v>
      </c>
      <c r="H31" s="1" t="s">
        <v>18</v>
      </c>
      <c r="K31" s="36">
        <f>D27*K30</f>
        <v>140.9973</v>
      </c>
    </row>
    <row r="32" spans="3:14" ht="15" thickBot="1">
      <c r="H32" s="1" t="s">
        <v>16</v>
      </c>
    </row>
    <row r="33" spans="3:15" ht="15" thickBot="1">
      <c r="C33" s="18" t="s">
        <v>13</v>
      </c>
      <c r="D33" s="19">
        <f>F31+(F31*2.9%)</f>
        <v>255.24303839999999</v>
      </c>
      <c r="E33" s="33" t="str">
        <f>CONCATENATE("Imposé à ",TEXT($O$11,"0%"))</f>
        <v>Imposé à 30%</v>
      </c>
      <c r="F33" s="37">
        <f>D33-((D33*0.9)*$O$11)</f>
        <v>186.327418032</v>
      </c>
      <c r="H33" s="3" t="str">
        <f>CONCATENATE("Total employeur = ",TEXT(L28,"0,00 €")," + ",TEXT(D27,"0,00 €")," + ",TEXT(K31,"0,00 €"))</f>
        <v>Total employeur = 341,67 € + 310,00 € + 141,00 €</v>
      </c>
    </row>
    <row r="34" spans="3:15" ht="15.6">
      <c r="H34" s="25" t="str">
        <f>CONCATENATE("Total employeur = ",TEXT(L28+D27+K31,"0,00 €"))</f>
        <v>Total employeur = 792,66 €</v>
      </c>
    </row>
    <row r="35" spans="3:15">
      <c r="G35" s="3"/>
    </row>
    <row r="36" spans="3:15">
      <c r="C36" s="1" t="s">
        <v>33</v>
      </c>
      <c r="F36" s="3"/>
    </row>
    <row r="37" spans="3:15" ht="15" thickBot="1">
      <c r="C37" s="1" t="str">
        <f>CONCATENATE("Coût voiture= ",TEXT(D28,"0,00 €")," - ",TEXT(F33,"0,00 €"))</f>
        <v>Coût voiture= 341,67 € - 186,33 €</v>
      </c>
    </row>
    <row r="38" spans="3:15" ht="15" thickBot="1">
      <c r="C38" s="81" t="str">
        <f>CONCATENATE("Coût voiture= ",TEXT(D28-F33,"0,00 €"))</f>
        <v>Coût voiture= 155,34 €</v>
      </c>
      <c r="E38" s="3"/>
      <c r="G38" s="3"/>
      <c r="H38" s="3"/>
    </row>
    <row r="39" spans="3:15">
      <c r="C39" s="118" t="str">
        <f>CONCATENATE("Coût voiture sans prise en compte des impôts : ",TEXT(D28-F31,"0,00 €"))</f>
        <v>Coût voiture sans prise en compte des impôts : 93,62 €</v>
      </c>
      <c r="D39" s="118"/>
    </row>
    <row r="41" spans="3:15">
      <c r="E41" s="26" t="s">
        <v>14</v>
      </c>
    </row>
    <row r="43" spans="3:15" ht="18">
      <c r="C43" s="23" t="str">
        <f>CONCATENATE("Choix 2 : Limitation des avantages en nature au forfait (",TEXT(O44," 0%")," des dépenses) avec une participation. Possibilité de prime exc. Compensatrice.")</f>
        <v>Choix 2 : Limitation des avantages en nature au forfait ( 50% des dépenses) avec une participation. Possibilité de prime exc. Compensatrice.</v>
      </c>
      <c r="F43" s="24"/>
      <c r="N43" s="21" t="s">
        <v>22</v>
      </c>
      <c r="O43" s="20">
        <v>2</v>
      </c>
    </row>
    <row r="44" spans="3:15" ht="18">
      <c r="C44" s="45" t="s">
        <v>82</v>
      </c>
      <c r="D44" s="46">
        <f>F3</f>
        <v>683.33333333333337</v>
      </c>
      <c r="F44" s="24"/>
      <c r="N44" s="21" t="s">
        <v>23</v>
      </c>
      <c r="O44" s="21">
        <f>IF(O43=1,30%,50%)</f>
        <v>0.5</v>
      </c>
    </row>
    <row r="45" spans="3:15" ht="15" thickBot="1">
      <c r="D45" s="108"/>
      <c r="E45" s="109"/>
    </row>
    <row r="46" spans="3:15">
      <c r="C46" s="2" t="s">
        <v>12</v>
      </c>
      <c r="D46" s="13"/>
      <c r="E46" s="12"/>
      <c r="H46" s="1" t="s">
        <v>9</v>
      </c>
    </row>
    <row r="47" spans="3:15" ht="15" thickBot="1">
      <c r="C47" s="88" t="s">
        <v>7</v>
      </c>
      <c r="D47" s="14"/>
    </row>
    <row r="48" spans="3:15">
      <c r="C48" s="5" t="s">
        <v>15</v>
      </c>
      <c r="D48" s="30">
        <f>IF((F3*O44)-D47&lt;0,0,(F3*O44)-D47)</f>
        <v>341.66666666666669</v>
      </c>
      <c r="E48" s="89" t="s">
        <v>6</v>
      </c>
      <c r="F48" s="86">
        <f>D48*$F$12</f>
        <v>68.278666666666666</v>
      </c>
      <c r="H48" s="1" t="s">
        <v>20</v>
      </c>
      <c r="J48" s="36">
        <f>$F$3</f>
        <v>683.33333333333337</v>
      </c>
      <c r="L48" s="34"/>
    </row>
    <row r="49" spans="3:12" ht="15" thickBot="1">
      <c r="C49" s="28" t="s">
        <v>15</v>
      </c>
      <c r="D49" s="29">
        <f>D48</f>
        <v>341.66666666666669</v>
      </c>
      <c r="E49" s="90" t="str">
        <f>CONCATENATE("Impôsé à ",TEXT($O$11,"0%"))</f>
        <v>Impôsé à 30%</v>
      </c>
      <c r="F49" s="87">
        <f>(D49*0.9)*$O$11</f>
        <v>92.25</v>
      </c>
    </row>
    <row r="50" spans="3:12">
      <c r="H50" s="108" t="s">
        <v>17</v>
      </c>
      <c r="I50" s="109"/>
      <c r="J50" s="109"/>
      <c r="K50" s="35">
        <f>'page 2'!$H$32</f>
        <v>0.45482999999999996</v>
      </c>
    </row>
    <row r="51" spans="3:12">
      <c r="E51" s="1" t="s">
        <v>6</v>
      </c>
      <c r="H51" s="1" t="s">
        <v>18</v>
      </c>
      <c r="K51" s="36">
        <f>D46*K50</f>
        <v>0</v>
      </c>
      <c r="L51" s="1" t="str">
        <f>IF(D46&lt;0.1,"(Pas de prime)","")</f>
        <v>(Pas de prime)</v>
      </c>
    </row>
    <row r="52" spans="3:12" ht="15" thickBot="1">
      <c r="C52" s="16" t="s">
        <v>12</v>
      </c>
      <c r="D52" s="17">
        <f>D46</f>
        <v>0</v>
      </c>
      <c r="E52" s="17">
        <f>D52*$F$12</f>
        <v>0</v>
      </c>
      <c r="F52" s="32">
        <f>D52-E52</f>
        <v>0</v>
      </c>
      <c r="H52" s="1" t="s">
        <v>21</v>
      </c>
      <c r="K52" s="36">
        <f>D48*K50</f>
        <v>155.40025</v>
      </c>
    </row>
    <row r="53" spans="3:12" ht="15" thickBot="1">
      <c r="H53" s="1" t="s">
        <v>88</v>
      </c>
      <c r="K53" s="36"/>
    </row>
    <row r="54" spans="3:12" ht="15" thickBot="1">
      <c r="C54" s="18" t="s">
        <v>13</v>
      </c>
      <c r="D54" s="19">
        <f>F52+(F52*2.9%)</f>
        <v>0</v>
      </c>
      <c r="E54" s="33" t="str">
        <f>CONCATENATE("Imposé à ",TEXT($O$11,"0%"))</f>
        <v>Imposé à 30%</v>
      </c>
      <c r="F54" s="37">
        <f>D54-((D54*0.9)*$O$11)</f>
        <v>0</v>
      </c>
      <c r="H54" s="3" t="str">
        <f>CONCATENATE("Total employeur = ",TEXT(J48,"0,00 €")," + ",TEXT(D46,"0,00 €")," + ",TEXT(K51,"0,00 €")," + ",TEXT(K52,"0,00 €")," - ",TEXT(D47,"0,00 €"))</f>
        <v>Total employeur = 683,33 € + 0,00 € + 0,00 € + 155,40 € - 0,00 €</v>
      </c>
    </row>
    <row r="55" spans="3:12" ht="15.6">
      <c r="H55" s="25" t="str">
        <f>CONCATENATE("Total employeur = ",TEXT(J48+D46+K51+K52-D47,"0,00 €"))</f>
        <v>Total employeur = 838,73 €</v>
      </c>
    </row>
    <row r="56" spans="3:12">
      <c r="G56" s="3"/>
    </row>
    <row r="57" spans="3:12">
      <c r="C57" s="1" t="s">
        <v>87</v>
      </c>
      <c r="F57" s="3"/>
    </row>
    <row r="58" spans="3:12" ht="15" thickBot="1">
      <c r="C58" s="1" t="str">
        <f>CONCATENATE("Coût voiture= ",TEXT(D47,"0,00 €")," + ",TEXT(F48,"0,00 €")," + ",TEXT(F49,"0,00 €")," - ",TEXT(F54,"0,00 €"))</f>
        <v>Coût voiture= 0,00 € + 68,28 € + 92,25 € - 0,00 €</v>
      </c>
    </row>
    <row r="59" spans="3:12" ht="15" thickBot="1">
      <c r="C59" s="81" t="str">
        <f>CONCATENATE("Coût voiture= ",TEXT(D47+F48+F49-F54,"0,00 €"))</f>
        <v>Coût voiture= 160,53 €</v>
      </c>
      <c r="D59" s="38" t="str">
        <f>IF(D47+F48+F49-F54&lt;0,"  Le coût est négatif, il y a donc gain d'argent !","")</f>
        <v/>
      </c>
      <c r="E59" s="3"/>
      <c r="G59" s="3"/>
      <c r="H59" s="3"/>
    </row>
    <row r="60" spans="3:12">
      <c r="C60" s="118" t="str">
        <f>CONCATENATE("Coût voiture sans prise en compte des impôts : ",TEXT(D47+F48-F52,"0,00 €"))</f>
        <v>Coût voiture sans prise en compte des impôts : 68,28 €</v>
      </c>
      <c r="D60" s="109"/>
      <c r="E60" s="38" t="str">
        <f>IF(D47+F48-F52&lt;0,"  Le coût est négatif, il y a donc gain d'argent !","")</f>
        <v/>
      </c>
      <c r="F60" s="38"/>
    </row>
    <row r="62" spans="3:12">
      <c r="E62" s="26" t="s">
        <v>14</v>
      </c>
    </row>
    <row r="63" spans="3:12">
      <c r="E63" s="26"/>
    </row>
    <row r="64" spans="3:12">
      <c r="C64" s="1" t="s">
        <v>95</v>
      </c>
      <c r="G64" s="1" t="s">
        <v>103</v>
      </c>
    </row>
    <row r="65" spans="3:9">
      <c r="G65" s="91" t="s">
        <v>94</v>
      </c>
      <c r="H65" s="103">
        <v>20001</v>
      </c>
    </row>
    <row r="66" spans="3:9">
      <c r="C66" s="50" t="s">
        <v>104</v>
      </c>
      <c r="D66" s="92">
        <v>38443</v>
      </c>
      <c r="G66" s="101" t="s">
        <v>109</v>
      </c>
      <c r="H66" s="101" t="s">
        <v>110</v>
      </c>
      <c r="I66" s="101" t="s">
        <v>108</v>
      </c>
    </row>
    <row r="67" spans="3:9">
      <c r="C67" s="1" t="s">
        <v>99</v>
      </c>
      <c r="D67" s="1">
        <v>0.44700000000000001</v>
      </c>
      <c r="F67" s="99" t="s">
        <v>96</v>
      </c>
      <c r="G67" s="94">
        <v>0.66500000000000004</v>
      </c>
      <c r="H67" s="94">
        <v>0.374</v>
      </c>
      <c r="I67" s="94">
        <v>0.44700000000000001</v>
      </c>
    </row>
    <row r="68" spans="3:9">
      <c r="C68" s="50" t="s">
        <v>100</v>
      </c>
      <c r="D68" s="95">
        <f>D66*D67</f>
        <v>17184.021000000001</v>
      </c>
      <c r="F68" s="100" t="s">
        <v>97</v>
      </c>
      <c r="G68" s="93"/>
      <c r="H68" s="93">
        <v>1457</v>
      </c>
      <c r="I68" s="93"/>
    </row>
    <row r="69" spans="3:9">
      <c r="F69" s="50" t="s">
        <v>98</v>
      </c>
      <c r="G69" s="102">
        <f>($H$65*G67)+G68</f>
        <v>13300.665000000001</v>
      </c>
      <c r="H69" s="102">
        <f>($H$65*H67)+H68</f>
        <v>8937.3739999999998</v>
      </c>
      <c r="I69" s="102">
        <f>($H$65*I67)+I68</f>
        <v>8940.4470000000001</v>
      </c>
    </row>
    <row r="70" spans="3:9">
      <c r="C70" s="50" t="s">
        <v>101</v>
      </c>
      <c r="D70" s="92">
        <v>1.6</v>
      </c>
    </row>
    <row r="71" spans="3:9">
      <c r="C71" s="50" t="s">
        <v>105</v>
      </c>
      <c r="D71" s="92">
        <v>5.5</v>
      </c>
    </row>
    <row r="72" spans="3:9">
      <c r="C72" s="50" t="s">
        <v>102</v>
      </c>
      <c r="D72" s="96">
        <f>D66/100*D71</f>
        <v>2114.3650000000002</v>
      </c>
    </row>
    <row r="73" spans="3:9">
      <c r="C73" s="50" t="s">
        <v>93</v>
      </c>
      <c r="D73" s="96">
        <f>D72*D70</f>
        <v>3382.9840000000004</v>
      </c>
      <c r="F73" s="80"/>
    </row>
    <row r="74" spans="3:9">
      <c r="C74" s="50" t="s">
        <v>106</v>
      </c>
      <c r="D74" s="97">
        <f>D68-D73</f>
        <v>13801.037</v>
      </c>
    </row>
    <row r="75" spans="3:9">
      <c r="C75" s="50" t="s">
        <v>107</v>
      </c>
      <c r="D75" s="98">
        <f>F3*12</f>
        <v>8200</v>
      </c>
    </row>
    <row r="77" spans="3:9">
      <c r="E77" s="26" t="s">
        <v>14</v>
      </c>
    </row>
    <row r="79" spans="3:9">
      <c r="C79" s="1" t="s">
        <v>24</v>
      </c>
    </row>
    <row r="80" spans="3:9">
      <c r="C80" s="1" t="s">
        <v>25</v>
      </c>
    </row>
    <row r="81" spans="3:3">
      <c r="C81" s="1" t="s">
        <v>26</v>
      </c>
    </row>
    <row r="83" spans="3:3">
      <c r="C83" s="1" t="s">
        <v>27</v>
      </c>
    </row>
    <row r="84" spans="3:3">
      <c r="C84" s="1" t="s">
        <v>28</v>
      </c>
    </row>
    <row r="86" spans="3:3">
      <c r="C86" s="1" t="s">
        <v>29</v>
      </c>
    </row>
    <row r="87" spans="3:3">
      <c r="C87" s="1" t="s">
        <v>29</v>
      </c>
    </row>
    <row r="89" spans="3:3">
      <c r="C89" s="1" t="s">
        <v>30</v>
      </c>
    </row>
    <row r="90" spans="3:3">
      <c r="C90" s="1" t="s">
        <v>31</v>
      </c>
    </row>
  </sheetData>
  <sheetProtection sheet="1" objects="1" scenarios="1"/>
  <mergeCells count="16">
    <mergeCell ref="C12:E12"/>
    <mergeCell ref="B2:D2"/>
    <mergeCell ref="C60:D60"/>
    <mergeCell ref="H13:J13"/>
    <mergeCell ref="D26:E26"/>
    <mergeCell ref="H30:J30"/>
    <mergeCell ref="D45:E45"/>
    <mergeCell ref="H50:J50"/>
    <mergeCell ref="C39:D39"/>
    <mergeCell ref="M9:N9"/>
    <mergeCell ref="M4:N4"/>
    <mergeCell ref="D6:E6"/>
    <mergeCell ref="M5:N5"/>
    <mergeCell ref="M6:N6"/>
    <mergeCell ref="M7:N7"/>
    <mergeCell ref="M8:N8"/>
  </mergeCells>
  <conditionalFormatting sqref="G69">
    <cfRule type="expression" dxfId="2" priority="3">
      <formula>IF($H$65&gt;5000,TRUE)</formula>
    </cfRule>
  </conditionalFormatting>
  <conditionalFormatting sqref="H69">
    <cfRule type="expression" dxfId="1" priority="1">
      <formula>IF(OR($H$65&lt;5001,$H$65&gt;20000),TRUE)</formula>
    </cfRule>
  </conditionalFormatting>
  <conditionalFormatting sqref="I69">
    <cfRule type="expression" dxfId="0" priority="2">
      <formula>IF($H$65&lt;20001,TRUE)</formula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1" r:id="rId3" name="Option Button 7">
              <controlPr defaultSize="0" autoFill="0" autoLine="0" autoPict="0">
                <anchor moveWithCells="1">
                  <from>
                    <xdr:col>12</xdr:col>
                    <xdr:colOff>91440</xdr:colOff>
                    <xdr:row>4</xdr:row>
                    <xdr:rowOff>15240</xdr:rowOff>
                  </from>
                  <to>
                    <xdr:col>13</xdr:col>
                    <xdr:colOff>434340</xdr:colOff>
                    <xdr:row>4</xdr:row>
                    <xdr:rowOff>175260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4" name="Option Button 8">
              <controlPr defaultSize="0" autoFill="0" autoLine="0" autoPict="0">
                <anchor moveWithCells="1">
                  <from>
                    <xdr:col>12</xdr:col>
                    <xdr:colOff>91440</xdr:colOff>
                    <xdr:row>4</xdr:row>
                    <xdr:rowOff>205740</xdr:rowOff>
                  </from>
                  <to>
                    <xdr:col>13</xdr:col>
                    <xdr:colOff>434340</xdr:colOff>
                    <xdr:row>5</xdr:row>
                    <xdr:rowOff>137160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5" name="Option Button 9">
              <controlPr defaultSize="0" autoFill="0" autoLine="0" autoPict="0">
                <anchor moveWithCells="1">
                  <from>
                    <xdr:col>12</xdr:col>
                    <xdr:colOff>99060</xdr:colOff>
                    <xdr:row>5</xdr:row>
                    <xdr:rowOff>160020</xdr:rowOff>
                  </from>
                  <to>
                    <xdr:col>13</xdr:col>
                    <xdr:colOff>434340</xdr:colOff>
                    <xdr:row>6</xdr:row>
                    <xdr:rowOff>137160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6" name="Option Button 10">
              <controlPr defaultSize="0" autoFill="0" autoLine="0" autoPict="0">
                <anchor moveWithCells="1">
                  <from>
                    <xdr:col>12</xdr:col>
                    <xdr:colOff>114300</xdr:colOff>
                    <xdr:row>6</xdr:row>
                    <xdr:rowOff>182880</xdr:rowOff>
                  </from>
                  <to>
                    <xdr:col>13</xdr:col>
                    <xdr:colOff>495300</xdr:colOff>
                    <xdr:row>7</xdr:row>
                    <xdr:rowOff>160020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7" name="Option Button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7620</xdr:rowOff>
                  </from>
                  <to>
                    <xdr:col>13</xdr:col>
                    <xdr:colOff>495300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8" name="List Box 28">
              <controlPr defaultSize="0" autoLine="0" autoPict="0">
                <anchor moveWithCells="1">
                  <from>
                    <xdr:col>4</xdr:col>
                    <xdr:colOff>1386840</xdr:colOff>
                    <xdr:row>43</xdr:row>
                    <xdr:rowOff>53340</xdr:rowOff>
                  </from>
                  <to>
                    <xdr:col>5</xdr:col>
                    <xdr:colOff>1577340</xdr:colOff>
                    <xdr:row>44</xdr:row>
                    <xdr:rowOff>175260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0561F-5583-441E-8C80-8BD7AAEA315F}">
  <dimension ref="B3:N35"/>
  <sheetViews>
    <sheetView showGridLines="0" workbookViewId="0">
      <selection activeCell="E38" sqref="E38"/>
    </sheetView>
  </sheetViews>
  <sheetFormatPr baseColWidth="10" defaultRowHeight="14.4"/>
  <cols>
    <col min="2" max="2" width="19.88671875" customWidth="1"/>
    <col min="3" max="3" width="49.109375" customWidth="1"/>
    <col min="5" max="9" width="14.77734375" customWidth="1"/>
  </cols>
  <sheetData>
    <row r="3" spans="2:13" ht="14.4" customHeight="1">
      <c r="B3" t="s">
        <v>83</v>
      </c>
      <c r="M3" s="39" t="s">
        <v>42</v>
      </c>
    </row>
    <row r="4" spans="2:13" ht="14.4" customHeight="1">
      <c r="B4" t="s">
        <v>111</v>
      </c>
      <c r="M4" s="39" t="s">
        <v>43</v>
      </c>
    </row>
    <row r="5" spans="2:13" ht="14.4" customHeight="1" thickBot="1">
      <c r="M5" s="39" t="s">
        <v>44</v>
      </c>
    </row>
    <row r="6" spans="2:13" ht="14.4" customHeight="1">
      <c r="C6" s="15" t="s">
        <v>34</v>
      </c>
      <c r="D6" s="47">
        <v>4600</v>
      </c>
      <c r="E6" s="58"/>
      <c r="F6" s="43"/>
      <c r="G6" s="43"/>
      <c r="H6" s="43"/>
      <c r="I6" s="43"/>
      <c r="M6" s="40" t="s">
        <v>45</v>
      </c>
    </row>
    <row r="7" spans="2:13" ht="14.4" customHeight="1" thickBot="1">
      <c r="C7" s="16" t="s">
        <v>64</v>
      </c>
      <c r="D7" s="48">
        <f>3925</f>
        <v>3925</v>
      </c>
      <c r="E7" s="58"/>
      <c r="F7" s="43"/>
      <c r="G7" s="43"/>
      <c r="H7" s="43"/>
      <c r="I7" s="43"/>
      <c r="M7" s="39" t="s">
        <v>46</v>
      </c>
    </row>
    <row r="8" spans="2:13" ht="15" thickBot="1">
      <c r="D8" s="43"/>
      <c r="E8" s="18" t="s">
        <v>35</v>
      </c>
      <c r="F8" s="54" t="s">
        <v>36</v>
      </c>
      <c r="G8" s="54" t="s">
        <v>37</v>
      </c>
      <c r="H8" s="54" t="s">
        <v>38</v>
      </c>
      <c r="I8" s="55" t="s">
        <v>39</v>
      </c>
    </row>
    <row r="9" spans="2:13">
      <c r="B9" t="s">
        <v>66</v>
      </c>
      <c r="C9" s="123" t="s">
        <v>40</v>
      </c>
      <c r="D9" s="124"/>
      <c r="E9" s="61">
        <f>D6</f>
        <v>4600</v>
      </c>
      <c r="F9" s="49"/>
      <c r="G9" s="66"/>
      <c r="H9" s="65">
        <v>0.13</v>
      </c>
      <c r="I9" s="71">
        <f>E9*H9</f>
        <v>598</v>
      </c>
      <c r="M9" s="39" t="s">
        <v>47</v>
      </c>
    </row>
    <row r="10" spans="2:13">
      <c r="C10" s="119" t="s">
        <v>41</v>
      </c>
      <c r="D10" s="120"/>
      <c r="E10" s="50">
        <f>IF($D$6&gt;$D$7,$D$7,$D$6)</f>
        <v>3925</v>
      </c>
      <c r="F10" s="50"/>
      <c r="G10" s="67"/>
      <c r="H10" s="50">
        <v>1.89E-2</v>
      </c>
      <c r="I10" s="72">
        <f>E10*H10</f>
        <v>74.182500000000005</v>
      </c>
      <c r="M10" s="39" t="s">
        <v>48</v>
      </c>
    </row>
    <row r="11" spans="2:13">
      <c r="C11" s="119"/>
      <c r="D11" s="120"/>
      <c r="E11" s="52">
        <f>IF($D$6&gt;$D$7,$D$6-$D$7,0)</f>
        <v>675</v>
      </c>
      <c r="F11" s="50"/>
      <c r="G11" s="67"/>
      <c r="H11" s="63">
        <v>2.7E-2</v>
      </c>
      <c r="I11" s="72">
        <f>E11*H11</f>
        <v>18.225000000000001</v>
      </c>
    </row>
    <row r="12" spans="2:13">
      <c r="C12" s="119"/>
      <c r="D12" s="120"/>
      <c r="E12" s="50"/>
      <c r="F12" s="50"/>
      <c r="G12" s="67"/>
      <c r="H12" s="50"/>
      <c r="I12" s="72"/>
      <c r="M12" s="40" t="s">
        <v>49</v>
      </c>
    </row>
    <row r="13" spans="2:13">
      <c r="C13" s="119" t="s">
        <v>84</v>
      </c>
      <c r="D13" s="120"/>
      <c r="E13" s="50">
        <v>44.94</v>
      </c>
      <c r="F13" s="50">
        <v>2</v>
      </c>
      <c r="G13" s="67">
        <f>E13*F13</f>
        <v>89.88</v>
      </c>
      <c r="H13" s="50">
        <v>2</v>
      </c>
      <c r="I13" s="72">
        <f>E13*H13</f>
        <v>89.88</v>
      </c>
      <c r="M13" s="40" t="s">
        <v>50</v>
      </c>
    </row>
    <row r="14" spans="2:13">
      <c r="C14" s="119" t="s">
        <v>65</v>
      </c>
      <c r="D14" s="120"/>
      <c r="E14" s="62">
        <f>D6</f>
        <v>4600</v>
      </c>
      <c r="F14" s="50"/>
      <c r="G14" s="67"/>
      <c r="H14" s="63">
        <v>7.9000000000000008E-3</v>
      </c>
      <c r="I14" s="72">
        <f>E14*H14</f>
        <v>36.340000000000003</v>
      </c>
    </row>
    <row r="15" spans="2:13">
      <c r="C15" s="119"/>
      <c r="D15" s="120"/>
      <c r="E15" s="50"/>
      <c r="F15" s="50"/>
      <c r="G15" s="67"/>
      <c r="H15" s="50"/>
      <c r="I15" s="72"/>
      <c r="M15" s="41" t="s">
        <v>51</v>
      </c>
    </row>
    <row r="16" spans="2:13">
      <c r="B16" t="s">
        <v>67</v>
      </c>
      <c r="C16" s="119" t="s">
        <v>68</v>
      </c>
      <c r="D16" s="120"/>
      <c r="E16" s="50">
        <f>IF($D$6&gt;$D$7,$D$7,$D$6)</f>
        <v>3925</v>
      </c>
      <c r="F16" s="50">
        <v>6.9000000000000006E-2</v>
      </c>
      <c r="G16" s="67">
        <f>E16*F16</f>
        <v>270.82500000000005</v>
      </c>
      <c r="H16" s="50">
        <v>8.5500000000000007E-2</v>
      </c>
      <c r="I16" s="72">
        <f t="shared" ref="I16:I19" si="0">E16*H16</f>
        <v>335.58750000000003</v>
      </c>
      <c r="M16" s="41" t="s">
        <v>52</v>
      </c>
    </row>
    <row r="17" spans="2:14">
      <c r="C17" s="121" t="s">
        <v>69</v>
      </c>
      <c r="D17" s="122"/>
      <c r="E17" s="62">
        <f>D6</f>
        <v>4600</v>
      </c>
      <c r="F17" s="63">
        <v>4.0000000000000001E-3</v>
      </c>
      <c r="G17" s="67">
        <f t="shared" ref="G17:G20" si="1">E17*F17</f>
        <v>18.400000000000002</v>
      </c>
      <c r="H17" s="63">
        <v>2.0199999999999999E-2</v>
      </c>
      <c r="I17" s="72">
        <f t="shared" si="0"/>
        <v>92.92</v>
      </c>
      <c r="M17" s="40" t="s">
        <v>53</v>
      </c>
    </row>
    <row r="18" spans="2:14">
      <c r="C18" s="119" t="s">
        <v>70</v>
      </c>
      <c r="D18" s="120"/>
      <c r="E18" s="50">
        <f>IF($D$6&gt;$D$7,$D$7,$D$6)</f>
        <v>3925</v>
      </c>
      <c r="F18" s="50">
        <v>4.0099999999999997E-2</v>
      </c>
      <c r="G18" s="67">
        <f t="shared" si="1"/>
        <v>157.39249999999998</v>
      </c>
      <c r="H18" s="50">
        <v>6.0100000000000001E-2</v>
      </c>
      <c r="I18" s="72">
        <f t="shared" si="0"/>
        <v>235.89250000000001</v>
      </c>
      <c r="M18" s="41" t="s">
        <v>54</v>
      </c>
    </row>
    <row r="19" spans="2:14">
      <c r="C19" s="119" t="s">
        <v>71</v>
      </c>
      <c r="D19" s="120"/>
      <c r="E19" s="52">
        <f>IF($D$6&gt;$D$7,$D$6-$D$7,0)</f>
        <v>675</v>
      </c>
      <c r="F19" s="63">
        <v>9.7199999999999995E-2</v>
      </c>
      <c r="G19" s="67">
        <f t="shared" si="1"/>
        <v>65.61</v>
      </c>
      <c r="H19" s="63">
        <v>0.1457</v>
      </c>
      <c r="I19" s="72">
        <f t="shared" si="0"/>
        <v>98.347499999999997</v>
      </c>
      <c r="M19" s="41" t="s">
        <v>55</v>
      </c>
    </row>
    <row r="20" spans="2:14">
      <c r="C20" s="119" t="s">
        <v>72</v>
      </c>
      <c r="D20" s="120"/>
      <c r="E20" s="62">
        <f>D6</f>
        <v>4600</v>
      </c>
      <c r="F20" s="63">
        <v>1.4E-3</v>
      </c>
      <c r="G20" s="67">
        <f t="shared" si="1"/>
        <v>6.4399999999999995</v>
      </c>
      <c r="H20" s="63">
        <v>2.0999999999999999E-3</v>
      </c>
      <c r="I20" s="72">
        <f>E20*H20</f>
        <v>9.66</v>
      </c>
      <c r="M20" s="40" t="s">
        <v>56</v>
      </c>
    </row>
    <row r="21" spans="2:14">
      <c r="C21" s="119" t="s">
        <v>73</v>
      </c>
      <c r="D21" s="120"/>
      <c r="E21" s="62">
        <f>D6</f>
        <v>4600</v>
      </c>
      <c r="F21" s="50"/>
      <c r="G21" s="67"/>
      <c r="H21" s="63">
        <v>3.4500000000000003E-2</v>
      </c>
      <c r="I21" s="72">
        <f>E21*H21</f>
        <v>158.70000000000002</v>
      </c>
      <c r="M21" s="41" t="s">
        <v>57</v>
      </c>
    </row>
    <row r="22" spans="2:14">
      <c r="C22" s="119"/>
      <c r="D22" s="120"/>
      <c r="E22" s="50"/>
      <c r="F22" s="50"/>
      <c r="G22" s="67"/>
      <c r="H22" s="50"/>
      <c r="I22" s="72"/>
    </row>
    <row r="23" spans="2:14">
      <c r="B23" t="s">
        <v>74</v>
      </c>
      <c r="C23" s="119" t="s">
        <v>75</v>
      </c>
      <c r="D23" s="120"/>
      <c r="E23" s="62">
        <f>D6</f>
        <v>4600</v>
      </c>
      <c r="F23" s="50"/>
      <c r="G23" s="67"/>
      <c r="H23" s="63">
        <v>4.2999999999999997E-2</v>
      </c>
      <c r="I23" s="72">
        <f>E23*H23</f>
        <v>197.79999999999998</v>
      </c>
    </row>
    <row r="24" spans="2:14">
      <c r="C24" s="119" t="s">
        <v>76</v>
      </c>
      <c r="D24" s="120"/>
      <c r="E24" s="62">
        <f>D6</f>
        <v>4600</v>
      </c>
      <c r="F24" s="63">
        <v>2.4000000000000001E-4</v>
      </c>
      <c r="G24" s="67">
        <f t="shared" ref="G24:G27" si="2">E24*F24</f>
        <v>1.1040000000000001</v>
      </c>
      <c r="H24" s="63">
        <v>3.6000000000000002E-4</v>
      </c>
      <c r="I24" s="72">
        <f>E24*H24</f>
        <v>1.6560000000000001</v>
      </c>
      <c r="M24" t="s">
        <v>64</v>
      </c>
    </row>
    <row r="25" spans="2:14">
      <c r="C25" s="119" t="s">
        <v>77</v>
      </c>
      <c r="D25" s="120"/>
      <c r="E25" s="50"/>
      <c r="F25" s="50"/>
      <c r="G25" s="67"/>
      <c r="H25" s="63">
        <v>4.4069999999999998E-2</v>
      </c>
      <c r="I25" s="73">
        <f>E24*H25</f>
        <v>202.72199999999998</v>
      </c>
      <c r="M25" s="42" t="s">
        <v>58</v>
      </c>
      <c r="N25" t="s">
        <v>59</v>
      </c>
    </row>
    <row r="26" spans="2:14">
      <c r="C26" s="119" t="s">
        <v>80</v>
      </c>
      <c r="D26" s="120"/>
      <c r="E26" s="52">
        <f>(D6+G13+I13)*98.25 %</f>
        <v>4696.1142</v>
      </c>
      <c r="F26" s="63">
        <v>6.8000000000000005E-2</v>
      </c>
      <c r="G26" s="67">
        <f t="shared" si="2"/>
        <v>319.3357656</v>
      </c>
      <c r="H26" s="50"/>
      <c r="I26" s="72"/>
      <c r="M26" s="42" t="s">
        <v>60</v>
      </c>
      <c r="N26" t="s">
        <v>61</v>
      </c>
    </row>
    <row r="27" spans="2:14" ht="15" thickBot="1">
      <c r="C27" s="125" t="s">
        <v>78</v>
      </c>
      <c r="D27" s="126"/>
      <c r="E27" s="53">
        <f>(D6+G13+I13)*98.25 %</f>
        <v>4696.1142</v>
      </c>
      <c r="F27" s="64">
        <v>2.9000000000000001E-2</v>
      </c>
      <c r="G27" s="68">
        <f t="shared" si="2"/>
        <v>136.1873118</v>
      </c>
      <c r="H27" s="51"/>
      <c r="I27" s="74"/>
      <c r="M27" s="42" t="s">
        <v>62</v>
      </c>
      <c r="N27" t="s">
        <v>63</v>
      </c>
    </row>
    <row r="28" spans="2:14" ht="15" thickBot="1">
      <c r="D28" s="43"/>
      <c r="G28" s="69"/>
      <c r="I28" s="69"/>
    </row>
    <row r="29" spans="2:14" ht="15" thickBot="1">
      <c r="C29" s="59" t="s">
        <v>79</v>
      </c>
      <c r="D29" s="60"/>
      <c r="E29" s="56"/>
      <c r="F29" s="57"/>
      <c r="G29" s="70">
        <f>SUM(G9:G28)</f>
        <v>1065.1745774000001</v>
      </c>
      <c r="H29" s="54"/>
      <c r="I29" s="75">
        <f>SUM(I9:I28)</f>
        <v>2149.9130000000005</v>
      </c>
    </row>
    <row r="30" spans="2:14">
      <c r="D30" s="43"/>
    </row>
    <row r="31" spans="2:14">
      <c r="D31" s="43"/>
    </row>
    <row r="32" spans="2:14">
      <c r="C32" s="127" t="s">
        <v>85</v>
      </c>
      <c r="D32" s="128"/>
      <c r="F32" s="63">
        <f>F17+F19+F20+F24+F26+F27</f>
        <v>0.19983999999999999</v>
      </c>
      <c r="H32" s="63">
        <f>H9+H11+H14+H17+H19+H20+H21+H23+H24+H25</f>
        <v>0.45482999999999996</v>
      </c>
    </row>
    <row r="33" spans="4:4">
      <c r="D33" s="43"/>
    </row>
    <row r="34" spans="4:4">
      <c r="D34" s="43"/>
    </row>
    <row r="35" spans="4:4">
      <c r="D35" s="43"/>
    </row>
  </sheetData>
  <mergeCells count="20">
    <mergeCell ref="C24:D24"/>
    <mergeCell ref="C25:D25"/>
    <mergeCell ref="C26:D26"/>
    <mergeCell ref="C27:D27"/>
    <mergeCell ref="C32:D32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page 1</vt:lpstr>
      <vt:lpstr>page 2</vt:lpstr>
    </vt:vector>
  </TitlesOfParts>
  <Company>Tromp Medical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Bertrand Peaudecerf</dc:creator>
  <cp:lastModifiedBy>Bertrand Peaudecerf</cp:lastModifiedBy>
  <dcterms:created xsi:type="dcterms:W3CDTF">2025-03-24T08:48:49Z</dcterms:created>
  <dcterms:modified xsi:type="dcterms:W3CDTF">2025-04-17T06:36:56Z</dcterms:modified>
</cp:coreProperties>
</file>